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Luis\Desktop\Site\Arquivos xls\"/>
    </mc:Choice>
  </mc:AlternateContent>
  <xr:revisionPtr revIDLastSave="0" documentId="8_{D65F4EB9-99CD-4D87-BBB0-0D7FEB94530C}" xr6:coauthVersionLast="47" xr6:coauthVersionMax="47" xr10:uidLastSave="{00000000-0000-0000-0000-000000000000}"/>
  <workbookProtection workbookPassword="EFC6" lockStructure="1"/>
  <bookViews>
    <workbookView xWindow="-120" yWindow="-120" windowWidth="29040" windowHeight="16440"/>
  </bookViews>
  <sheets>
    <sheet name="Menu" sheetId="2" r:id="rId1"/>
    <sheet name="Valuation" sheetId="1" r:id="rId2"/>
    <sheet name="Gráficos" sheetId="4" r:id="rId3"/>
  </sheets>
  <calcPr calcId="191029" iterate="1" iterateCount="1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E19" i="1"/>
  <c r="F19" i="1"/>
  <c r="C19" i="1"/>
  <c r="C20" i="1" s="1"/>
  <c r="D15" i="1"/>
  <c r="E15" i="1"/>
  <c r="F15" i="1"/>
  <c r="F17" i="1" s="1"/>
  <c r="C15" i="1"/>
  <c r="C17" i="1" s="1"/>
  <c r="C18" i="1" s="1"/>
  <c r="C11" i="1"/>
  <c r="H77" i="1"/>
  <c r="H78" i="1"/>
  <c r="H79" i="1"/>
  <c r="H80" i="1" s="1"/>
  <c r="I80" i="1" s="1"/>
  <c r="H76" i="1"/>
  <c r="C7" i="4"/>
  <c r="D7" i="4"/>
  <c r="E7" i="4"/>
  <c r="A6" i="4"/>
  <c r="A3" i="4"/>
  <c r="B3" i="4"/>
  <c r="C3" i="4"/>
  <c r="D3" i="4"/>
  <c r="E3" i="4"/>
  <c r="A5" i="4"/>
  <c r="A4" i="4"/>
  <c r="C2" i="4"/>
  <c r="D2" i="4" s="1"/>
  <c r="E2" i="4" s="1"/>
  <c r="B28" i="2"/>
  <c r="B138" i="1"/>
  <c r="F138" i="1" s="1"/>
  <c r="G138" i="1" s="1"/>
  <c r="F129" i="1"/>
  <c r="G129" i="1" s="1"/>
  <c r="E129" i="1"/>
  <c r="D129" i="1" s="1"/>
  <c r="E117" i="1"/>
  <c r="C115" i="1"/>
  <c r="J110" i="1"/>
  <c r="E105" i="1"/>
  <c r="E104" i="1"/>
  <c r="E103" i="1"/>
  <c r="E102" i="1"/>
  <c r="B96" i="1"/>
  <c r="F91" i="1"/>
  <c r="C83" i="1"/>
  <c r="C82" i="1"/>
  <c r="G80" i="1"/>
  <c r="F80" i="1"/>
  <c r="G79" i="1"/>
  <c r="F79" i="1"/>
  <c r="G78" i="1"/>
  <c r="F78" i="1"/>
  <c r="G77" i="1"/>
  <c r="F77" i="1"/>
  <c r="I77" i="1" s="1"/>
  <c r="G76" i="1"/>
  <c r="G83" i="1"/>
  <c r="C102" i="1"/>
  <c r="C101" i="1" s="1"/>
  <c r="F76" i="1"/>
  <c r="I76" i="1"/>
  <c r="D75" i="1"/>
  <c r="F67" i="1"/>
  <c r="F68" i="1" s="1"/>
  <c r="E67" i="1"/>
  <c r="D67" i="1"/>
  <c r="D68" i="1"/>
  <c r="C67" i="1"/>
  <c r="C68" i="1" s="1"/>
  <c r="E62" i="1"/>
  <c r="F61" i="1"/>
  <c r="F62" i="1" s="1"/>
  <c r="F70" i="1"/>
  <c r="E61" i="1"/>
  <c r="D61" i="1"/>
  <c r="C61" i="1"/>
  <c r="C62" i="1"/>
  <c r="C57" i="1"/>
  <c r="I41" i="1"/>
  <c r="J41" i="1" s="1"/>
  <c r="K41" i="1" s="1"/>
  <c r="F34" i="1"/>
  <c r="E34" i="1"/>
  <c r="D34" i="1"/>
  <c r="F28" i="1"/>
  <c r="E28" i="1"/>
  <c r="D28" i="1"/>
  <c r="C28" i="1"/>
  <c r="F22" i="1"/>
  <c r="E22" i="1"/>
  <c r="D22" i="1"/>
  <c r="C22" i="1"/>
  <c r="F20" i="1"/>
  <c r="E20" i="1"/>
  <c r="D20" i="1"/>
  <c r="E17" i="1"/>
  <c r="D17" i="1"/>
  <c r="D24" i="1"/>
  <c r="D29" i="1" s="1"/>
  <c r="C4" i="4"/>
  <c r="E13" i="1"/>
  <c r="E14" i="1"/>
  <c r="E12" i="1"/>
  <c r="D12" i="1"/>
  <c r="F11" i="1"/>
  <c r="E11" i="1"/>
  <c r="D11" i="1"/>
  <c r="D13" i="1" s="1"/>
  <c r="D14" i="1" s="1"/>
  <c r="C13" i="1"/>
  <c r="C14" i="1" s="1"/>
  <c r="F10" i="1"/>
  <c r="E10" i="1"/>
  <c r="D10" i="1"/>
  <c r="H9" i="1"/>
  <c r="J118" i="1" s="1"/>
  <c r="G9" i="1"/>
  <c r="E8" i="1"/>
  <c r="D8" i="1"/>
  <c r="D57" i="1" s="1"/>
  <c r="H19" i="1"/>
  <c r="F3" i="4"/>
  <c r="D18" i="1"/>
  <c r="I78" i="1"/>
  <c r="F2" i="4"/>
  <c r="G2" i="4" s="1"/>
  <c r="H2" i="4" s="1"/>
  <c r="I2" i="4" s="1"/>
  <c r="J2" i="4" s="1"/>
  <c r="F13" i="1"/>
  <c r="F14" i="1" s="1"/>
  <c r="F12" i="1"/>
  <c r="H138" i="1"/>
  <c r="F83" i="1"/>
  <c r="H11" i="1"/>
  <c r="H13" i="1" s="1"/>
  <c r="H14" i="1"/>
  <c r="H15" i="1"/>
  <c r="H17" i="1" s="1"/>
  <c r="H24" i="1" s="1"/>
  <c r="H21" i="1"/>
  <c r="H27" i="1"/>
  <c r="H33" i="1"/>
  <c r="F7" i="4" s="1"/>
  <c r="G82" i="1"/>
  <c r="H129" i="1"/>
  <c r="F82" i="1"/>
  <c r="I9" i="1"/>
  <c r="J9" i="1" s="1"/>
  <c r="C12" i="1"/>
  <c r="I33" i="1"/>
  <c r="G7" i="4"/>
  <c r="I27" i="1"/>
  <c r="I11" i="1"/>
  <c r="H18" i="1"/>
  <c r="C103" i="1"/>
  <c r="E91" i="1"/>
  <c r="F4" i="4" l="1"/>
  <c r="H29" i="1"/>
  <c r="H31" i="1" s="1"/>
  <c r="J119" i="1"/>
  <c r="H25" i="1"/>
  <c r="F5" i="4" s="1"/>
  <c r="H3" i="4"/>
  <c r="J27" i="1"/>
  <c r="J33" i="1"/>
  <c r="H7" i="4" s="1"/>
  <c r="J11" i="1"/>
  <c r="J13" i="1" s="1"/>
  <c r="J14" i="1" s="1"/>
  <c r="J17" i="1"/>
  <c r="K9" i="1"/>
  <c r="J19" i="1"/>
  <c r="J15" i="1"/>
  <c r="J21" i="1"/>
  <c r="F18" i="1"/>
  <c r="F24" i="1"/>
  <c r="E18" i="1"/>
  <c r="E24" i="1"/>
  <c r="E6" i="4"/>
  <c r="F71" i="1"/>
  <c r="G13" i="1"/>
  <c r="I19" i="1"/>
  <c r="I15" i="1"/>
  <c r="I17" i="1" s="1"/>
  <c r="H68" i="1"/>
  <c r="E138" i="1"/>
  <c r="D138" i="1" s="1"/>
  <c r="C24" i="1"/>
  <c r="G3" i="4"/>
  <c r="I21" i="1"/>
  <c r="I13" i="1"/>
  <c r="I14" i="1" s="1"/>
  <c r="C70" i="1"/>
  <c r="E57" i="1"/>
  <c r="F8" i="1"/>
  <c r="L41" i="1"/>
  <c r="C51" i="1"/>
  <c r="D70" i="1"/>
  <c r="D62" i="1"/>
  <c r="H62" i="1" s="1"/>
  <c r="E68" i="1"/>
  <c r="E70" i="1"/>
  <c r="I79" i="1"/>
  <c r="I82" i="1" s="1"/>
  <c r="D25" i="1"/>
  <c r="C5" i="4" s="1"/>
  <c r="I83" i="1" l="1"/>
  <c r="D91" i="1" s="1"/>
  <c r="G91" i="1" s="1"/>
  <c r="C108" i="1" s="1"/>
  <c r="C110" i="1" s="1"/>
  <c r="C117" i="1" s="1"/>
  <c r="F25" i="1"/>
  <c r="E5" i="4" s="1"/>
  <c r="G24" i="1"/>
  <c r="F29" i="1"/>
  <c r="E4" i="4"/>
  <c r="H67" i="1"/>
  <c r="I68" i="1"/>
  <c r="J18" i="1"/>
  <c r="J24" i="1"/>
  <c r="D71" i="1"/>
  <c r="C6" i="4"/>
  <c r="E36" i="1"/>
  <c r="E71" i="1"/>
  <c r="D6" i="4"/>
  <c r="F36" i="1"/>
  <c r="F38" i="1" s="1"/>
  <c r="B6" i="4"/>
  <c r="D36" i="1"/>
  <c r="D38" i="1" s="1"/>
  <c r="C71" i="1"/>
  <c r="C25" i="1"/>
  <c r="B5" i="4" s="1"/>
  <c r="C29" i="1"/>
  <c r="B4" i="4"/>
  <c r="I24" i="1"/>
  <c r="I18" i="1"/>
  <c r="H61" i="1"/>
  <c r="I62" i="1"/>
  <c r="F57" i="1"/>
  <c r="H8" i="1"/>
  <c r="G8" i="1"/>
  <c r="D4" i="4"/>
  <c r="E38" i="1"/>
  <c r="E25" i="1"/>
  <c r="D5" i="4" s="1"/>
  <c r="E29" i="1"/>
  <c r="I3" i="4"/>
  <c r="K21" i="1"/>
  <c r="K11" i="1"/>
  <c r="K17" i="1"/>
  <c r="L9" i="1"/>
  <c r="K27" i="1"/>
  <c r="K13" i="1"/>
  <c r="K14" i="1" s="1"/>
  <c r="K33" i="1"/>
  <c r="I7" i="4" s="1"/>
  <c r="K19" i="1"/>
  <c r="K15" i="1"/>
  <c r="K18" i="1" l="1"/>
  <c r="K24" i="1"/>
  <c r="I8" i="1"/>
  <c r="E119" i="1"/>
  <c r="H57" i="1"/>
  <c r="E118" i="1"/>
  <c r="J68" i="1"/>
  <c r="I67" i="1"/>
  <c r="I25" i="1"/>
  <c r="G5" i="4" s="1"/>
  <c r="G4" i="4"/>
  <c r="I29" i="1"/>
  <c r="I31" i="1" s="1"/>
  <c r="L27" i="1"/>
  <c r="L11" i="1"/>
  <c r="L13" i="1" s="1"/>
  <c r="L14" i="1" s="1"/>
  <c r="L33" i="1"/>
  <c r="J7" i="4" s="1"/>
  <c r="L21" i="1"/>
  <c r="L15" i="1"/>
  <c r="L17" i="1" s="1"/>
  <c r="J3" i="4"/>
  <c r="L19" i="1"/>
  <c r="J62" i="1"/>
  <c r="I61" i="1"/>
  <c r="H4" i="4"/>
  <c r="J29" i="1"/>
  <c r="J31" i="1" s="1"/>
  <c r="J25" i="1"/>
  <c r="H5" i="4" s="1"/>
  <c r="H70" i="1"/>
  <c r="G29" i="1"/>
  <c r="C40" i="1"/>
  <c r="C132" i="1"/>
  <c r="L18" i="1" l="1"/>
  <c r="L24" i="1"/>
  <c r="I70" i="1"/>
  <c r="J67" i="1"/>
  <c r="K68" i="1"/>
  <c r="J8" i="1"/>
  <c r="I57" i="1"/>
  <c r="C52" i="1"/>
  <c r="J103" i="1" s="1"/>
  <c r="L42" i="1"/>
  <c r="J42" i="1"/>
  <c r="I42" i="1"/>
  <c r="H42" i="1"/>
  <c r="K42" i="1"/>
  <c r="J61" i="1"/>
  <c r="J70" i="1" s="1"/>
  <c r="K62" i="1"/>
  <c r="K29" i="1"/>
  <c r="K31" i="1" s="1"/>
  <c r="K25" i="1"/>
  <c r="I5" i="4" s="1"/>
  <c r="I4" i="4"/>
  <c r="H71" i="1"/>
  <c r="F6" i="4"/>
  <c r="H36" i="1"/>
  <c r="H38" i="1" s="1"/>
  <c r="I36" i="1"/>
  <c r="I38" i="1" s="1"/>
  <c r="C133" i="1"/>
  <c r="C134" i="1" s="1"/>
  <c r="C131" i="1"/>
  <c r="C130" i="1" s="1"/>
  <c r="H6" i="4" l="1"/>
  <c r="J71" i="1"/>
  <c r="L29" i="1"/>
  <c r="L31" i="1" s="1"/>
  <c r="L25" i="1"/>
  <c r="J4" i="4"/>
  <c r="C48" i="1"/>
  <c r="J57" i="1"/>
  <c r="K8" i="1"/>
  <c r="K67" i="1"/>
  <c r="L68" i="1"/>
  <c r="L67" i="1" s="1"/>
  <c r="H43" i="1"/>
  <c r="K61" i="1"/>
  <c r="K70" i="1" s="1"/>
  <c r="L62" i="1"/>
  <c r="L61" i="1" s="1"/>
  <c r="I43" i="1"/>
  <c r="I71" i="1"/>
  <c r="J36" i="1"/>
  <c r="J38" i="1" s="1"/>
  <c r="J43" i="1" s="1"/>
  <c r="G6" i="4"/>
  <c r="K71" i="1" l="1"/>
  <c r="I6" i="4"/>
  <c r="L36" i="1"/>
  <c r="L38" i="1" s="1"/>
  <c r="K57" i="1"/>
  <c r="L8" i="1"/>
  <c r="L57" i="1" s="1"/>
  <c r="K36" i="1"/>
  <c r="K38" i="1" s="1"/>
  <c r="K43" i="1" s="1"/>
  <c r="L70" i="1"/>
  <c r="C141" i="1"/>
  <c r="J5" i="4"/>
  <c r="C46" i="1" l="1"/>
  <c r="C49" i="1" s="1"/>
  <c r="L43" i="1"/>
  <c r="J100" i="1"/>
  <c r="C142" i="1"/>
  <c r="C143" i="1" s="1"/>
  <c r="C140" i="1"/>
  <c r="C139" i="1" s="1"/>
  <c r="J6" i="4"/>
  <c r="L71" i="1"/>
  <c r="C53" i="1" l="1"/>
  <c r="C50" i="1"/>
  <c r="J102" i="1"/>
  <c r="J107" i="1" l="1"/>
  <c r="C54" i="1" s="1"/>
  <c r="J104" i="1"/>
  <c r="J105" i="1" s="1"/>
  <c r="B129" i="1" l="1"/>
  <c r="J112" i="1"/>
  <c r="J114" i="1" s="1"/>
  <c r="C138" i="1"/>
  <c r="J117" i="1"/>
  <c r="C129" i="1"/>
  <c r="J121" i="1" l="1"/>
  <c r="J120" i="1"/>
</calcChain>
</file>

<file path=xl/comments1.xml><?xml version="1.0" encoding="utf-8"?>
<comments xmlns="http://schemas.openxmlformats.org/spreadsheetml/2006/main">
  <authors>
    <author>Autor</author>
  </authors>
  <commentList>
    <comment ref="B50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Implied Exit Multiple</t>
        </r>
      </text>
    </comment>
  </commentList>
</comments>
</file>

<file path=xl/sharedStrings.xml><?xml version="1.0" encoding="utf-8"?>
<sst xmlns="http://schemas.openxmlformats.org/spreadsheetml/2006/main" count="130" uniqueCount="116">
  <si>
    <t>Modelo de Fluxo de Caixa Descontado</t>
  </si>
  <si>
    <t>(em milhões)</t>
  </si>
  <si>
    <t>Atual</t>
  </si>
  <si>
    <t>CAGR</t>
  </si>
  <si>
    <t>Forecast projetado</t>
  </si>
  <si>
    <t>Faturamento</t>
  </si>
  <si>
    <t>% Crescimento de vendas</t>
  </si>
  <si>
    <t>(-) Impostos diretos e devoluções</t>
  </si>
  <si>
    <t>Impostos diretos e devoluções %</t>
  </si>
  <si>
    <t>(=) Faturamento Líquido</t>
  </si>
  <si>
    <t>(=) Faturamento Líquido %</t>
  </si>
  <si>
    <t>(-) Custos dos Produtos Vendidos</t>
  </si>
  <si>
    <t>Resultado Bruto %</t>
  </si>
  <si>
    <t>Resultado Bruto</t>
  </si>
  <si>
    <t>Despesas Comerciais</t>
  </si>
  <si>
    <t>Despesas Comerciais %</t>
  </si>
  <si>
    <t>Despesas Administrativas</t>
  </si>
  <si>
    <t>Despesas Administrativas %</t>
  </si>
  <si>
    <t>EBITDA</t>
  </si>
  <si>
    <t>% EBITDA</t>
  </si>
  <si>
    <t>Depreciação &amp; Amortização:</t>
  </si>
  <si>
    <t>% Faturamento</t>
  </si>
  <si>
    <t>EBIT</t>
  </si>
  <si>
    <t>IRPJ e CSLL (34%)</t>
  </si>
  <si>
    <t>Capex</t>
  </si>
  <si>
    <t>Aumento/Redução da NCG</t>
  </si>
  <si>
    <t>Unlevered Free Cash Flow</t>
  </si>
  <si>
    <t>WACC</t>
  </si>
  <si>
    <t>Períodos para desconto</t>
  </si>
  <si>
    <t>Fator de Desconto</t>
  </si>
  <si>
    <t>Valor Presente do Fluxo de Caixa Livre</t>
  </si>
  <si>
    <t>Valor Terminal</t>
  </si>
  <si>
    <t>Fluxo de Caixa Livre do último Período</t>
  </si>
  <si>
    <t>Taxa Perpetuidade</t>
  </si>
  <si>
    <t>EBITDA do último período</t>
  </si>
  <si>
    <t>Valor da Perpetuidade</t>
  </si>
  <si>
    <t xml:space="preserve">    Múltiplo de Ebtida</t>
  </si>
  <si>
    <t>Número de períodos descontados</t>
  </si>
  <si>
    <t>Fator de desconto</t>
  </si>
  <si>
    <t>Valor Presente da Perpetuidade</t>
  </si>
  <si>
    <t>% Participação da Perpetuidade no Valor da Empresa</t>
  </si>
  <si>
    <t>Necessidade de Capital de Giro NCG</t>
  </si>
  <si>
    <t>Contas a receber</t>
  </si>
  <si>
    <t>Estoques</t>
  </si>
  <si>
    <t>Adiantamentos diversos</t>
  </si>
  <si>
    <t>Ativo Operacional</t>
  </si>
  <si>
    <t>Fornecedores a pagar</t>
  </si>
  <si>
    <t>Provisões a pagar</t>
  </si>
  <si>
    <t>Outros contas a pagar</t>
  </si>
  <si>
    <t>Passivo Operacional</t>
  </si>
  <si>
    <t>Necessidade de Capital de Giro</t>
  </si>
  <si>
    <t>Empresas Comparáveis Beta não Alavancado</t>
  </si>
  <si>
    <t>Empresas</t>
  </si>
  <si>
    <t>Beta Alavancado (1)</t>
  </si>
  <si>
    <t>Valor de Mercado do PL (3)</t>
  </si>
  <si>
    <t>Endividamento Oneroso/ PL</t>
  </si>
  <si>
    <t>PL/ Total do Ativo</t>
  </si>
  <si>
    <t>IRPJ e CSLL</t>
  </si>
  <si>
    <t>Beta Não Alavancado (4)</t>
  </si>
  <si>
    <t>Empresa 1</t>
  </si>
  <si>
    <t>Empresa 2</t>
  </si>
  <si>
    <t>Empresa 3</t>
  </si>
  <si>
    <t>Empresa 4</t>
  </si>
  <si>
    <t>Empresa 5</t>
  </si>
  <si>
    <t>Mediana</t>
  </si>
  <si>
    <t>Média</t>
  </si>
  <si>
    <t>(1)Fonte Bloomberg</t>
  </si>
  <si>
    <t>(2) Valor Contábil Endividamento Oneroso</t>
  </si>
  <si>
    <t>(3) Fonte Bloomberg</t>
  </si>
  <si>
    <t>(4)Beta não alavancado = Beta previsto alavancado / (1 + Debt/Equity) x (1-t))</t>
  </si>
  <si>
    <t>Beta Realavancado</t>
  </si>
  <si>
    <t>Média do Beta Não Alavancado</t>
  </si>
  <si>
    <t>Mediana Objetivo  - Debit/Equity</t>
  </si>
  <si>
    <t>Taxa Objetivo Marginal IRPJ e CSLL</t>
  </si>
  <si>
    <t>Empresa alvo</t>
  </si>
  <si>
    <t>Entradas</t>
  </si>
  <si>
    <t>Saídas</t>
  </si>
  <si>
    <t>Cálculo do Wacc</t>
  </si>
  <si>
    <t>Enterprise value</t>
  </si>
  <si>
    <r>
      <t>Target Capital Structure</t>
    </r>
    <r>
      <rPr>
        <sz val="9"/>
        <color indexed="8"/>
        <rFont val="Arial"/>
        <family val="2"/>
      </rPr>
      <t xml:space="preserve"> (1)</t>
    </r>
  </si>
  <si>
    <t>Valor Presente do Fluxo de Caixa</t>
  </si>
  <si>
    <t>Participação do Capital de Terceiros</t>
  </si>
  <si>
    <t>Participação do Capital Próprio</t>
  </si>
  <si>
    <t>Debt to Equity Ratio</t>
  </si>
  <si>
    <t>Custo do Capital Próprio</t>
  </si>
  <si>
    <t>Taxa Livre de Risco (2)</t>
  </si>
  <si>
    <t>Premio de Risco do Mercado (3)</t>
  </si>
  <si>
    <t>Valor da Empresa</t>
  </si>
  <si>
    <t>Beta Alavancado (4)</t>
  </si>
  <si>
    <t>(-) Endividamento oneroso</t>
  </si>
  <si>
    <t>Premio pelo tamanho (5)</t>
  </si>
  <si>
    <t>(+) Caixa e Equivalente de caixa</t>
  </si>
  <si>
    <t xml:space="preserve">    Custo do Capital Próprio</t>
  </si>
  <si>
    <t>(=) Endividamento Líquido</t>
  </si>
  <si>
    <t>Custo Capital de Terceiros</t>
  </si>
  <si>
    <t>Valor do Acionista</t>
  </si>
  <si>
    <t>Custo do Capital de Terceiros</t>
  </si>
  <si>
    <t>Quantidade de Ações em circulação</t>
  </si>
  <si>
    <t>Valor por ação</t>
  </si>
  <si>
    <t>Custo do Capital de Terceiros + Impostos</t>
  </si>
  <si>
    <t>Múltiplos Implícitos</t>
  </si>
  <si>
    <t>(1) Obtida da fórmula de beta realavancado</t>
  </si>
  <si>
    <t>(2) Rendimento Interpolado em Obrigações do Tesouro de 10 anos</t>
  </si>
  <si>
    <t>Múltiplo EV/Faturamento</t>
  </si>
  <si>
    <t>(3) Obtido do Ibbotson SBBI Valuation Yearbook</t>
  </si>
  <si>
    <t>Múltiplo EV/EBITDA</t>
  </si>
  <si>
    <t>(4) Obtida da fórmula de beta realavancado</t>
  </si>
  <si>
    <t>(5)Prêmio por tamanho,  Low-Cap Decile  baseado na capitalização de mercado, fonte Ibbotson</t>
  </si>
  <si>
    <t>Análise de Sensibilidade</t>
  </si>
  <si>
    <t>Perpetuidade %</t>
  </si>
  <si>
    <t>Crescimento de Vendas Anual %</t>
  </si>
  <si>
    <t>EBITDA %</t>
  </si>
  <si>
    <t>Valuation</t>
  </si>
  <si>
    <t>Células editáveis</t>
  </si>
  <si>
    <t>Gráficos</t>
  </si>
  <si>
    <t>www.avaliandoempresas.com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</si>
</sst>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R$&quot;\ #,##0;[Red]\-&quot;R$&quot;\ #,##0"/>
    <numFmt numFmtId="43" formatCode="_-* #,##0.00_-;\-* #,##0.00_-;_-* &quot;-&quot;??_-;_-@_-"/>
    <numFmt numFmtId="164" formatCode="0.0%"/>
    <numFmt numFmtId="165" formatCode="#,##0_ ;[Red]\-#,##0\ "/>
    <numFmt numFmtId="166" formatCode="#,##0.00_ ;[Red]\-#,##0.00\ "/>
    <numFmt numFmtId="167" formatCode="#,##0.0\x"/>
    <numFmt numFmtId="168" formatCode="#,##0.0"/>
    <numFmt numFmtId="169" formatCode="0.0\x"/>
    <numFmt numFmtId="170" formatCode="&quot;R$&quot;\ #,##0"/>
  </numFmts>
  <fonts count="28" x14ac:knownFonts="1">
    <font>
      <sz val="11"/>
      <color theme="1"/>
      <name val="Cambria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mbria"/>
      <family val="2"/>
    </font>
    <font>
      <u/>
      <sz val="11"/>
      <color theme="10"/>
      <name val="Cambria"/>
      <family val="2"/>
    </font>
    <font>
      <b/>
      <sz val="9"/>
      <color theme="0"/>
      <name val="Arial"/>
      <family val="2"/>
    </font>
    <font>
      <b/>
      <sz val="9"/>
      <color rgb="FFFFFF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3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9"/>
      <color theme="3"/>
      <name val="Arial"/>
      <family val="2"/>
    </font>
    <font>
      <b/>
      <sz val="9"/>
      <color rgb="FF00206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11"/>
      <color theme="0"/>
      <name val="Cambria"/>
      <family val="2"/>
    </font>
    <font>
      <sz val="8"/>
      <color rgb="FF000000"/>
      <name val="Arial"/>
      <family val="2"/>
    </font>
    <font>
      <sz val="9"/>
      <color theme="0"/>
      <name val="Arial"/>
      <family val="2"/>
    </font>
    <font>
      <b/>
      <sz val="9"/>
      <color theme="2"/>
      <name val="Arial"/>
      <family val="2"/>
    </font>
    <font>
      <sz val="9"/>
      <color theme="2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  <font>
      <u/>
      <sz val="16"/>
      <color theme="0"/>
      <name val="Cambria"/>
      <family val="2"/>
    </font>
    <font>
      <b/>
      <sz val="11"/>
      <color theme="0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1F3E"/>
        <bgColor indexed="64"/>
      </patternFill>
    </fill>
    <fill>
      <patternFill patternType="solid">
        <fgColor rgb="FF0A172C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/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theme="1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1"/>
      </bottom>
      <diagonal/>
    </border>
    <border>
      <left/>
      <right style="thick">
        <color theme="0"/>
      </right>
      <top style="thick">
        <color theme="0"/>
      </top>
      <bottom style="thin">
        <color theme="1"/>
      </bottom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n">
        <color theme="1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62">
    <xf numFmtId="0" fontId="0" fillId="0" borderId="0" xfId="0"/>
    <xf numFmtId="0" fontId="7" fillId="2" borderId="6" xfId="0" applyFont="1" applyFill="1" applyBorder="1" applyAlignment="1">
      <alignment horizontal="center" vertical="center" wrapText="1" readingOrder="1"/>
    </xf>
    <xf numFmtId="0" fontId="8" fillId="2" borderId="7" xfId="0" applyFont="1" applyFill="1" applyBorder="1" applyAlignment="1" applyProtection="1">
      <alignment horizontal="right" vertical="center" wrapText="1" readingOrder="1"/>
      <protection locked="0"/>
    </xf>
    <xf numFmtId="0" fontId="7" fillId="2" borderId="8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6" fontId="9" fillId="3" borderId="10" xfId="0" applyNumberFormat="1" applyFont="1" applyFill="1" applyBorder="1" applyAlignment="1" applyProtection="1">
      <alignment horizontal="right" vertical="center" wrapText="1" readingOrder="1"/>
      <protection locked="0"/>
    </xf>
    <xf numFmtId="9" fontId="10" fillId="0" borderId="11" xfId="0" applyNumberFormat="1" applyFont="1" applyBorder="1" applyAlignment="1" applyProtection="1">
      <alignment horizontal="center" vertical="center" wrapText="1" readingOrder="1"/>
      <protection hidden="1"/>
    </xf>
    <xf numFmtId="3" fontId="9" fillId="4" borderId="11" xfId="0" applyNumberFormat="1" applyFont="1" applyFill="1" applyBorder="1" applyAlignment="1" applyProtection="1">
      <alignment horizontal="right" vertical="center" wrapText="1" readingOrder="1"/>
      <protection hidden="1"/>
    </xf>
    <xf numFmtId="3" fontId="9" fillId="4" borderId="12" xfId="0" applyNumberFormat="1" applyFont="1" applyFill="1" applyBorder="1" applyAlignment="1" applyProtection="1">
      <alignment horizontal="right" vertical="center" wrapText="1" readingOrder="1"/>
      <protection hidden="1"/>
    </xf>
    <xf numFmtId="3" fontId="9" fillId="4" borderId="0" xfId="0" applyNumberFormat="1" applyFont="1" applyFill="1" applyBorder="1" applyAlignment="1">
      <alignment horizontal="right" vertical="center" wrapText="1" readingOrder="1"/>
    </xf>
    <xf numFmtId="0" fontId="11" fillId="0" borderId="0" xfId="0" applyFont="1" applyBorder="1"/>
    <xf numFmtId="164" fontId="10" fillId="0" borderId="11" xfId="0" applyNumberFormat="1" applyFont="1" applyBorder="1" applyAlignment="1" applyProtection="1">
      <alignment horizontal="right" vertical="center" wrapText="1" readingOrder="1"/>
      <protection hidden="1"/>
    </xf>
    <xf numFmtId="164" fontId="10" fillId="0" borderId="12" xfId="0" applyNumberFormat="1" applyFont="1" applyBorder="1" applyAlignment="1" applyProtection="1">
      <alignment horizontal="right" vertical="center" wrapText="1" readingOrder="1"/>
      <protection hidden="1"/>
    </xf>
    <xf numFmtId="164" fontId="12" fillId="3" borderId="11" xfId="0" applyNumberFormat="1" applyFont="1" applyFill="1" applyBorder="1" applyProtection="1">
      <protection locked="0"/>
    </xf>
    <xf numFmtId="164" fontId="12" fillId="3" borderId="12" xfId="0" applyNumberFormat="1" applyFont="1" applyFill="1" applyBorder="1" applyProtection="1">
      <protection locked="0"/>
    </xf>
    <xf numFmtId="6" fontId="9" fillId="3" borderId="11" xfId="0" applyNumberFormat="1" applyFont="1" applyFill="1" applyBorder="1" applyAlignment="1" applyProtection="1">
      <alignment horizontal="right" vertical="center" wrapText="1" readingOrder="1"/>
      <protection locked="0"/>
    </xf>
    <xf numFmtId="6" fontId="9" fillId="4" borderId="11" xfId="0" applyNumberFormat="1" applyFont="1" applyFill="1" applyBorder="1" applyAlignment="1" applyProtection="1">
      <alignment horizontal="right" vertical="center" wrapText="1" readingOrder="1"/>
      <protection hidden="1"/>
    </xf>
    <xf numFmtId="164" fontId="9" fillId="4" borderId="11" xfId="2" applyNumberFormat="1" applyFont="1" applyFill="1" applyBorder="1" applyAlignment="1" applyProtection="1">
      <alignment horizontal="right" vertical="center" wrapText="1" readingOrder="1"/>
      <protection hidden="1"/>
    </xf>
    <xf numFmtId="6" fontId="13" fillId="5" borderId="11" xfId="0" applyNumberFormat="1" applyFont="1" applyFill="1" applyBorder="1" applyAlignment="1" applyProtection="1">
      <alignment horizontal="right" vertical="center" wrapText="1" readingOrder="1"/>
      <protection hidden="1"/>
    </xf>
    <xf numFmtId="9" fontId="10" fillId="5" borderId="11" xfId="0" applyNumberFormat="1" applyFont="1" applyFill="1" applyBorder="1" applyAlignment="1" applyProtection="1">
      <alignment horizontal="center" vertical="center" wrapText="1" readingOrder="1"/>
      <protection hidden="1"/>
    </xf>
    <xf numFmtId="164" fontId="13" fillId="5" borderId="11" xfId="2" applyNumberFormat="1" applyFont="1" applyFill="1" applyBorder="1" applyAlignment="1" applyProtection="1">
      <alignment horizontal="right" vertical="center" wrapText="1" readingOrder="1"/>
      <protection hidden="1"/>
    </xf>
    <xf numFmtId="9" fontId="14" fillId="5" borderId="11" xfId="0" applyNumberFormat="1" applyFont="1" applyFill="1" applyBorder="1" applyAlignment="1" applyProtection="1">
      <alignment horizontal="center" vertical="center" wrapText="1" readingOrder="1"/>
      <protection hidden="1"/>
    </xf>
    <xf numFmtId="6" fontId="9" fillId="4" borderId="12" xfId="0" applyNumberFormat="1" applyFont="1" applyFill="1" applyBorder="1" applyAlignment="1" applyProtection="1">
      <alignment horizontal="right" vertical="center" wrapText="1" readingOrder="1"/>
      <protection hidden="1"/>
    </xf>
    <xf numFmtId="9" fontId="14" fillId="4" borderId="11" xfId="0" applyNumberFormat="1" applyFont="1" applyFill="1" applyBorder="1" applyAlignment="1" applyProtection="1">
      <alignment horizontal="center" vertical="center" wrapText="1" readingOrder="1"/>
      <protection hidden="1"/>
    </xf>
    <xf numFmtId="6" fontId="13" fillId="4" borderId="11" xfId="2" applyNumberFormat="1" applyFont="1" applyFill="1" applyBorder="1" applyAlignment="1" applyProtection="1">
      <alignment horizontal="right" vertical="center" wrapText="1" readingOrder="1"/>
      <protection hidden="1"/>
    </xf>
    <xf numFmtId="164" fontId="13" fillId="4" borderId="11" xfId="2" applyNumberFormat="1" applyFont="1" applyFill="1" applyBorder="1" applyAlignment="1" applyProtection="1">
      <alignment horizontal="right" vertical="center" wrapText="1" readingOrder="1"/>
      <protection hidden="1"/>
    </xf>
    <xf numFmtId="3" fontId="9" fillId="0" borderId="13" xfId="0" applyNumberFormat="1" applyFont="1" applyBorder="1" applyAlignment="1" applyProtection="1">
      <alignment horizontal="right" vertical="center" wrapText="1" readingOrder="1"/>
      <protection hidden="1"/>
    </xf>
    <xf numFmtId="3" fontId="9" fillId="0" borderId="14" xfId="0" applyNumberFormat="1" applyFont="1" applyBorder="1" applyAlignment="1" applyProtection="1">
      <alignment horizontal="right" vertical="center" wrapText="1" readingOrder="1"/>
      <protection hidden="1"/>
    </xf>
    <xf numFmtId="3" fontId="9" fillId="0" borderId="11" xfId="0" applyNumberFormat="1" applyFont="1" applyBorder="1" applyAlignment="1" applyProtection="1">
      <alignment horizontal="right" vertical="center" wrapText="1" readingOrder="1"/>
      <protection hidden="1"/>
    </xf>
    <xf numFmtId="0" fontId="11" fillId="4" borderId="13" xfId="0" applyFont="1" applyFill="1" applyBorder="1" applyProtection="1">
      <protection hidden="1"/>
    </xf>
    <xf numFmtId="0" fontId="11" fillId="4" borderId="14" xfId="0" applyFont="1" applyFill="1" applyBorder="1" applyProtection="1">
      <protection hidden="1"/>
    </xf>
    <xf numFmtId="3" fontId="13" fillId="5" borderId="15" xfId="0" applyNumberFormat="1" applyFont="1" applyFill="1" applyBorder="1" applyAlignment="1" applyProtection="1">
      <alignment horizontal="right"/>
      <protection hidden="1"/>
    </xf>
    <xf numFmtId="9" fontId="10" fillId="5" borderId="12" xfId="0" applyNumberFormat="1" applyFont="1" applyFill="1" applyBorder="1" applyAlignment="1" applyProtection="1">
      <alignment horizontal="center" vertical="center" wrapText="1" readingOrder="1"/>
      <protection hidden="1"/>
    </xf>
    <xf numFmtId="164" fontId="14" fillId="5" borderId="16" xfId="0" applyNumberFormat="1" applyFont="1" applyFill="1" applyBorder="1" applyAlignment="1" applyProtection="1">
      <alignment horizontal="right" vertical="center" wrapText="1" readingOrder="1"/>
      <protection hidden="1"/>
    </xf>
    <xf numFmtId="164" fontId="14" fillId="5" borderId="0" xfId="0" applyNumberFormat="1" applyFont="1" applyFill="1" applyBorder="1" applyAlignment="1" applyProtection="1">
      <alignment horizontal="right" vertical="center" wrapText="1" readingOrder="1"/>
      <protection hidden="1"/>
    </xf>
    <xf numFmtId="164" fontId="14" fillId="5" borderId="12" xfId="0" applyNumberFormat="1" applyFont="1" applyFill="1" applyBorder="1" applyAlignment="1" applyProtection="1">
      <alignment horizontal="right" vertical="center" wrapText="1" readingOrder="1"/>
      <protection hidden="1"/>
    </xf>
    <xf numFmtId="164" fontId="14" fillId="5" borderId="11" xfId="0" applyNumberFormat="1" applyFont="1" applyFill="1" applyBorder="1" applyAlignment="1" applyProtection="1">
      <alignment horizontal="right" vertical="center" wrapText="1" readingOrder="1"/>
      <protection hidden="1"/>
    </xf>
    <xf numFmtId="3" fontId="9" fillId="0" borderId="16" xfId="0" applyNumberFormat="1" applyFont="1" applyBorder="1" applyAlignment="1" applyProtection="1">
      <alignment horizontal="right" vertical="center" wrapText="1" readingOrder="1"/>
      <protection hidden="1"/>
    </xf>
    <xf numFmtId="3" fontId="9" fillId="0" borderId="0" xfId="0" applyNumberFormat="1" applyFont="1" applyBorder="1" applyAlignment="1" applyProtection="1">
      <alignment horizontal="right" vertical="center" wrapText="1" readingOrder="1"/>
      <protection hidden="1"/>
    </xf>
    <xf numFmtId="3" fontId="9" fillId="0" borderId="12" xfId="0" applyNumberFormat="1" applyFont="1" applyBorder="1" applyAlignment="1" applyProtection="1">
      <alignment horizontal="right" vertical="center" wrapText="1" readingOrder="1"/>
      <protection hidden="1"/>
    </xf>
    <xf numFmtId="0" fontId="11" fillId="4" borderId="16" xfId="0" applyFont="1" applyFill="1" applyBorder="1" applyProtection="1">
      <protection hidden="1"/>
    </xf>
    <xf numFmtId="0" fontId="11" fillId="4" borderId="0" xfId="0" applyFont="1" applyFill="1" applyBorder="1" applyProtection="1">
      <protection hidden="1"/>
    </xf>
    <xf numFmtId="165" fontId="13" fillId="3" borderId="10" xfId="0" applyNumberFormat="1" applyFont="1" applyFill="1" applyBorder="1" applyAlignment="1" applyProtection="1">
      <alignment horizontal="right" vertical="center" wrapText="1" readingOrder="1"/>
      <protection locked="0"/>
    </xf>
    <xf numFmtId="165" fontId="11" fillId="4" borderId="11" xfId="0" applyNumberFormat="1" applyFont="1" applyFill="1" applyBorder="1" applyProtection="1">
      <protection hidden="1"/>
    </xf>
    <xf numFmtId="165" fontId="11" fillId="4" borderId="12" xfId="0" applyNumberFormat="1" applyFont="1" applyFill="1" applyBorder="1" applyProtection="1">
      <protection hidden="1"/>
    </xf>
    <xf numFmtId="164" fontId="9" fillId="0" borderId="13" xfId="0" applyNumberFormat="1" applyFont="1" applyBorder="1" applyAlignment="1" applyProtection="1">
      <alignment horizontal="right" vertical="center" wrapText="1" readingOrder="1"/>
      <protection hidden="1"/>
    </xf>
    <xf numFmtId="164" fontId="9" fillId="0" borderId="11" xfId="0" applyNumberFormat="1" applyFont="1" applyBorder="1" applyAlignment="1" applyProtection="1">
      <alignment horizontal="right" vertical="center" wrapText="1" readingOrder="1"/>
      <protection hidden="1"/>
    </xf>
    <xf numFmtId="164" fontId="12" fillId="3" borderId="10" xfId="0" applyNumberFormat="1" applyFont="1" applyFill="1" applyBorder="1" applyProtection="1">
      <protection locked="0"/>
    </xf>
    <xf numFmtId="3" fontId="13" fillId="5" borderId="11" xfId="0" applyNumberFormat="1" applyFont="1" applyFill="1" applyBorder="1" applyAlignment="1" applyProtection="1">
      <alignment horizontal="right" vertical="center" wrapText="1" readingOrder="1"/>
      <protection hidden="1"/>
    </xf>
    <xf numFmtId="0" fontId="11" fillId="4" borderId="0" xfId="0" applyFont="1" applyFill="1" applyBorder="1"/>
    <xf numFmtId="0" fontId="11" fillId="0" borderId="11" xfId="0" applyFont="1" applyBorder="1" applyProtection="1">
      <protection hidden="1"/>
    </xf>
    <xf numFmtId="0" fontId="11" fillId="0" borderId="12" xfId="0" applyFont="1" applyBorder="1" applyProtection="1">
      <protection hidden="1"/>
    </xf>
    <xf numFmtId="165" fontId="9" fillId="0" borderId="11" xfId="0" applyNumberFormat="1" applyFont="1" applyBorder="1" applyAlignment="1" applyProtection="1">
      <alignment horizontal="right" vertical="center" wrapText="1" readingOrder="1"/>
      <protection hidden="1"/>
    </xf>
    <xf numFmtId="165" fontId="9" fillId="0" borderId="12" xfId="0" applyNumberFormat="1" applyFont="1" applyBorder="1" applyAlignment="1" applyProtection="1">
      <alignment horizontal="right" vertical="center" wrapText="1" readingOrder="1"/>
      <protection hidden="1"/>
    </xf>
    <xf numFmtId="9" fontId="9" fillId="0" borderId="12" xfId="0" applyNumberFormat="1" applyFont="1" applyBorder="1" applyAlignment="1" applyProtection="1">
      <alignment horizontal="right" vertical="center" wrapText="1" readingOrder="1"/>
      <protection hidden="1"/>
    </xf>
    <xf numFmtId="164" fontId="15" fillId="3" borderId="11" xfId="0" applyNumberFormat="1" applyFont="1" applyFill="1" applyBorder="1" applyAlignment="1" applyProtection="1">
      <alignment horizontal="right" vertical="center" wrapText="1" readingOrder="1"/>
      <protection locked="0"/>
    </xf>
    <xf numFmtId="164" fontId="15" fillId="3" borderId="12" xfId="0" applyNumberFormat="1" applyFont="1" applyFill="1" applyBorder="1" applyAlignment="1" applyProtection="1">
      <alignment horizontal="right" vertical="center" wrapText="1" readingOrder="1"/>
      <protection locked="0"/>
    </xf>
    <xf numFmtId="165" fontId="14" fillId="4" borderId="16" xfId="0" applyNumberFormat="1" applyFont="1" applyFill="1" applyBorder="1" applyAlignment="1" applyProtection="1">
      <alignment horizontal="right" vertical="center" wrapText="1" readingOrder="1"/>
      <protection hidden="1"/>
    </xf>
    <xf numFmtId="165" fontId="13" fillId="4" borderId="12" xfId="0" applyNumberFormat="1" applyFont="1" applyFill="1" applyBorder="1" applyAlignment="1" applyProtection="1">
      <alignment horizontal="right" vertical="center" wrapText="1" readingOrder="1"/>
      <protection hidden="1"/>
    </xf>
    <xf numFmtId="3" fontId="13" fillId="4" borderId="11" xfId="0" applyNumberFormat="1" applyFont="1" applyFill="1" applyBorder="1" applyAlignment="1" applyProtection="1">
      <alignment horizontal="right" vertical="center" wrapText="1" readingOrder="1"/>
      <protection hidden="1"/>
    </xf>
    <xf numFmtId="165" fontId="13" fillId="4" borderId="11" xfId="0" applyNumberFormat="1" applyFont="1" applyFill="1" applyBorder="1" applyAlignment="1" applyProtection="1">
      <alignment horizontal="right" vertical="center" wrapText="1" readingOrder="1"/>
      <protection hidden="1"/>
    </xf>
    <xf numFmtId="3" fontId="9" fillId="0" borderId="17" xfId="0" applyNumberFormat="1" applyFont="1" applyBorder="1" applyAlignment="1" applyProtection="1">
      <alignment horizontal="right" vertical="center" wrapText="1" readingOrder="1"/>
      <protection hidden="1"/>
    </xf>
    <xf numFmtId="3" fontId="9" fillId="0" borderId="18" xfId="0" applyNumberFormat="1" applyFont="1" applyBorder="1" applyAlignment="1" applyProtection="1">
      <alignment horizontal="right" vertical="center" wrapText="1" readingOrder="1"/>
      <protection hidden="1"/>
    </xf>
    <xf numFmtId="3" fontId="13" fillId="6" borderId="16" xfId="0" applyNumberFormat="1" applyFont="1" applyFill="1" applyBorder="1" applyAlignment="1" applyProtection="1">
      <alignment horizontal="right" vertical="center" wrapText="1" readingOrder="1"/>
      <protection hidden="1"/>
    </xf>
    <xf numFmtId="3" fontId="13" fillId="6" borderId="0" xfId="0" applyNumberFormat="1" applyFont="1" applyFill="1" applyBorder="1" applyAlignment="1" applyProtection="1">
      <alignment horizontal="right" vertical="center" wrapText="1" readingOrder="1"/>
      <protection hidden="1"/>
    </xf>
    <xf numFmtId="3" fontId="13" fillId="6" borderId="12" xfId="0" applyNumberFormat="1" applyFont="1" applyFill="1" applyBorder="1" applyAlignment="1" applyProtection="1">
      <alignment horizontal="right" vertical="center" wrapText="1" readingOrder="1"/>
      <protection hidden="1"/>
    </xf>
    <xf numFmtId="3" fontId="13" fillId="0" borderId="11" xfId="0" applyNumberFormat="1" applyFont="1" applyFill="1" applyBorder="1" applyAlignment="1" applyProtection="1">
      <alignment horizontal="right" vertical="center" wrapText="1" readingOrder="1"/>
      <protection hidden="1"/>
    </xf>
    <xf numFmtId="3" fontId="9" fillId="0" borderId="11" xfId="0" applyNumberFormat="1" applyFont="1" applyFill="1" applyBorder="1" applyAlignment="1" applyProtection="1">
      <alignment horizontal="right" vertical="center" wrapText="1" readingOrder="1"/>
      <protection hidden="1"/>
    </xf>
    <xf numFmtId="164" fontId="13" fillId="6" borderId="16" xfId="0" applyNumberFormat="1" applyFont="1" applyFill="1" applyBorder="1" applyAlignment="1" applyProtection="1">
      <alignment horizontal="right" vertical="center" wrapText="1" readingOrder="1"/>
      <protection hidden="1"/>
    </xf>
    <xf numFmtId="166" fontId="16" fillId="3" borderId="10" xfId="0" applyNumberFormat="1" applyFont="1" applyFill="1" applyBorder="1" applyAlignment="1" applyProtection="1">
      <alignment horizontal="right" vertical="center" wrapText="1" readingOrder="1"/>
      <protection locked="0" hidden="1"/>
    </xf>
    <xf numFmtId="43" fontId="9" fillId="0" borderId="12" xfId="3" applyFont="1" applyBorder="1" applyAlignment="1" applyProtection="1">
      <alignment horizontal="right" vertical="center" wrapText="1" readingOrder="1"/>
      <protection hidden="1"/>
    </xf>
    <xf numFmtId="43" fontId="9" fillId="0" borderId="11" xfId="3" applyFont="1" applyBorder="1" applyAlignment="1" applyProtection="1">
      <alignment horizontal="right" vertical="center" wrapText="1" readingOrder="1"/>
      <protection hidden="1"/>
    </xf>
    <xf numFmtId="43" fontId="9" fillId="0" borderId="17" xfId="3" applyFont="1" applyBorder="1" applyAlignment="1" applyProtection="1">
      <alignment horizontal="right" vertical="center" wrapText="1" readingOrder="1"/>
      <protection hidden="1"/>
    </xf>
    <xf numFmtId="43" fontId="9" fillId="0" borderId="18" xfId="3" applyFont="1" applyBorder="1" applyAlignment="1" applyProtection="1">
      <alignment horizontal="right" vertical="center" wrapText="1" readingOrder="1"/>
      <protection hidden="1"/>
    </xf>
    <xf numFmtId="3" fontId="9" fillId="0" borderId="0" xfId="0" applyNumberFormat="1" applyFont="1" applyBorder="1" applyAlignment="1">
      <alignment horizontal="right" vertical="center" wrapText="1" readingOrder="1"/>
    </xf>
    <xf numFmtId="3" fontId="13" fillId="0" borderId="0" xfId="0" applyNumberFormat="1" applyFont="1" applyBorder="1" applyAlignment="1">
      <alignment horizontal="right" vertical="center" wrapText="1" readingOrder="1"/>
    </xf>
    <xf numFmtId="0" fontId="7" fillId="7" borderId="9" xfId="0" applyFont="1" applyFill="1" applyBorder="1" applyAlignment="1">
      <alignment horizontal="right" vertical="center" wrapText="1" readingOrder="1"/>
    </xf>
    <xf numFmtId="0" fontId="7" fillId="7" borderId="7" xfId="0" applyFont="1" applyFill="1" applyBorder="1" applyAlignment="1">
      <alignment horizontal="right" vertical="center" wrapText="1" readingOrder="1"/>
    </xf>
    <xf numFmtId="0" fontId="7" fillId="7" borderId="19" xfId="0" applyFont="1" applyFill="1" applyBorder="1" applyAlignment="1">
      <alignment horizontal="right" vertical="center" wrapText="1" readingOrder="1"/>
    </xf>
    <xf numFmtId="3" fontId="9" fillId="7" borderId="19" xfId="0" applyNumberFormat="1" applyFont="1" applyFill="1" applyBorder="1" applyAlignment="1">
      <alignment horizontal="right" vertical="center" wrapText="1" readingOrder="1"/>
    </xf>
    <xf numFmtId="3" fontId="16" fillId="3" borderId="10" xfId="0" applyNumberFormat="1" applyFont="1" applyFill="1" applyBorder="1" applyAlignment="1" applyProtection="1">
      <alignment horizontal="right" vertical="center" wrapText="1" readingOrder="1"/>
      <protection locked="0"/>
    </xf>
    <xf numFmtId="3" fontId="9" fillId="0" borderId="12" xfId="0" applyNumberFormat="1" applyFont="1" applyBorder="1" applyAlignment="1">
      <alignment horizontal="right" vertical="center" wrapText="1" readingOrder="1"/>
    </xf>
    <xf numFmtId="3" fontId="9" fillId="0" borderId="11" xfId="0" applyNumberFormat="1" applyFont="1" applyBorder="1" applyAlignment="1">
      <alignment horizontal="right" vertical="center" wrapText="1" readingOrder="1"/>
    </xf>
    <xf numFmtId="165" fontId="13" fillId="0" borderId="12" xfId="0" applyNumberFormat="1" applyFont="1" applyBorder="1" applyAlignment="1">
      <alignment horizontal="right" vertical="center" wrapText="1" readingOrder="1"/>
    </xf>
    <xf numFmtId="164" fontId="9" fillId="0" borderId="0" xfId="0" applyNumberFormat="1" applyFont="1" applyBorder="1" applyAlignment="1">
      <alignment horizontal="right" vertical="center" wrapText="1" readingOrder="1"/>
    </xf>
    <xf numFmtId="164" fontId="12" fillId="3" borderId="20" xfId="0" applyNumberFormat="1" applyFont="1" applyFill="1" applyBorder="1" applyAlignment="1" applyProtection="1">
      <alignment horizontal="right" vertical="center" wrapText="1" readingOrder="1"/>
      <protection locked="0"/>
    </xf>
    <xf numFmtId="38" fontId="13" fillId="3" borderId="10" xfId="0" applyNumberFormat="1" applyFont="1" applyFill="1" applyBorder="1" applyAlignment="1" applyProtection="1">
      <alignment horizontal="right" vertical="center" wrapText="1" readingOrder="1"/>
      <protection locked="0"/>
    </xf>
    <xf numFmtId="38" fontId="16" fillId="3" borderId="10" xfId="0" applyNumberFormat="1" applyFont="1" applyFill="1" applyBorder="1" applyAlignment="1" applyProtection="1">
      <alignment horizontal="right" vertical="center" wrapText="1" readingOrder="1"/>
      <protection locked="0"/>
    </xf>
    <xf numFmtId="9" fontId="9" fillId="0" borderId="12" xfId="0" applyNumberFormat="1" applyFont="1" applyBorder="1" applyAlignment="1">
      <alignment horizontal="right" vertical="center" wrapText="1" readingOrder="1"/>
    </xf>
    <xf numFmtId="165" fontId="13" fillId="4" borderId="10" xfId="0" applyNumberFormat="1" applyFont="1" applyFill="1" applyBorder="1" applyAlignment="1" applyProtection="1">
      <alignment horizontal="right" vertical="center" wrapText="1" readingOrder="1"/>
      <protection locked="0"/>
    </xf>
    <xf numFmtId="3" fontId="17" fillId="0" borderId="18" xfId="0" applyNumberFormat="1" applyFont="1" applyBorder="1" applyAlignment="1">
      <alignment horizontal="right" vertical="center" wrapText="1" readingOrder="1"/>
    </xf>
    <xf numFmtId="3" fontId="9" fillId="0" borderId="18" xfId="0" applyNumberFormat="1" applyFont="1" applyBorder="1" applyAlignment="1">
      <alignment horizontal="right" vertical="center" wrapText="1" readingOrder="1"/>
    </xf>
    <xf numFmtId="165" fontId="13" fillId="0" borderId="0" xfId="0" applyNumberFormat="1" applyFont="1" applyBorder="1" applyAlignment="1">
      <alignment horizontal="right" vertical="center" wrapText="1" readingOrder="1"/>
    </xf>
    <xf numFmtId="165" fontId="9" fillId="0" borderId="0" xfId="0" applyNumberFormat="1" applyFont="1" applyBorder="1" applyAlignment="1">
      <alignment horizontal="right" vertical="center" wrapText="1" readingOrder="1"/>
    </xf>
    <xf numFmtId="0" fontId="12" fillId="3" borderId="8" xfId="0" applyFont="1" applyFill="1" applyBorder="1" applyAlignment="1" applyProtection="1">
      <alignment vertical="top"/>
      <protection locked="0"/>
    </xf>
    <xf numFmtId="1" fontId="12" fillId="3" borderId="8" xfId="0" applyNumberFormat="1" applyFont="1" applyFill="1" applyBorder="1" applyAlignment="1" applyProtection="1">
      <alignment vertical="top"/>
      <protection locked="0"/>
    </xf>
    <xf numFmtId="0" fontId="12" fillId="3" borderId="10" xfId="0" applyFont="1" applyFill="1" applyBorder="1" applyAlignment="1" applyProtection="1">
      <alignment vertical="top"/>
      <protection locked="0"/>
    </xf>
    <xf numFmtId="1" fontId="12" fillId="3" borderId="10" xfId="0" applyNumberFormat="1" applyFont="1" applyFill="1" applyBorder="1" applyAlignment="1" applyProtection="1">
      <alignment vertical="top"/>
      <protection locked="0"/>
    </xf>
    <xf numFmtId="0" fontId="11" fillId="4" borderId="18" xfId="0" applyFont="1" applyFill="1" applyBorder="1" applyAlignment="1">
      <alignment vertical="top"/>
    </xf>
    <xf numFmtId="0" fontId="11" fillId="2" borderId="12" xfId="0" applyFont="1" applyFill="1" applyBorder="1"/>
    <xf numFmtId="0" fontId="7" fillId="2" borderId="0" xfId="0" applyFont="1" applyFill="1" applyBorder="1" applyAlignment="1"/>
    <xf numFmtId="3" fontId="9" fillId="2" borderId="0" xfId="0" applyNumberFormat="1" applyFont="1" applyFill="1" applyBorder="1" applyAlignment="1">
      <alignment horizontal="right" vertical="center" wrapText="1" readingOrder="1"/>
    </xf>
    <xf numFmtId="0" fontId="13" fillId="6" borderId="21" xfId="0" applyFont="1" applyFill="1" applyBorder="1" applyAlignment="1">
      <alignment horizontal="left" vertical="center" readingOrder="1"/>
    </xf>
    <xf numFmtId="0" fontId="9" fillId="4" borderId="0" xfId="0" applyFont="1" applyFill="1" applyBorder="1" applyAlignment="1">
      <alignment horizontal="left" vertical="center" readingOrder="1"/>
    </xf>
    <xf numFmtId="0" fontId="13" fillId="4" borderId="0" xfId="0" applyFont="1" applyFill="1" applyBorder="1" applyAlignment="1">
      <alignment horizontal="left" vertical="center" readingOrder="1"/>
    </xf>
    <xf numFmtId="0" fontId="10" fillId="0" borderId="12" xfId="0" applyFont="1" applyBorder="1" applyAlignment="1">
      <alignment horizontal="left" vertical="center" readingOrder="1"/>
    </xf>
    <xf numFmtId="164" fontId="12" fillId="3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4" borderId="1" xfId="0" applyFont="1" applyFill="1" applyBorder="1" applyAlignment="1">
      <alignment horizontal="left" vertical="center" readingOrder="1"/>
    </xf>
    <xf numFmtId="0" fontId="11" fillId="0" borderId="1" xfId="0" applyFont="1" applyBorder="1"/>
    <xf numFmtId="3" fontId="9" fillId="0" borderId="1" xfId="0" applyNumberFormat="1" applyFont="1" applyBorder="1" applyAlignment="1">
      <alignment horizontal="right" vertical="center" wrapText="1" readingOrder="1"/>
    </xf>
    <xf numFmtId="0" fontId="13" fillId="4" borderId="16" xfId="0" applyFont="1" applyFill="1" applyBorder="1" applyAlignment="1">
      <alignment horizontal="left" vertical="center" readingOrder="1"/>
    </xf>
    <xf numFmtId="0" fontId="9" fillId="4" borderId="16" xfId="0" applyFont="1" applyFill="1" applyBorder="1" applyAlignment="1">
      <alignment horizontal="left" vertical="center" readingOrder="1"/>
    </xf>
    <xf numFmtId="164" fontId="12" fillId="3" borderId="6" xfId="0" applyNumberFormat="1" applyFont="1" applyFill="1" applyBorder="1" applyAlignment="1" applyProtection="1">
      <alignment horizontal="right" vertical="center" wrapText="1" readingOrder="1"/>
      <protection locked="0"/>
    </xf>
    <xf numFmtId="164" fontId="18" fillId="6" borderId="2" xfId="0" applyNumberFormat="1" applyFont="1" applyFill="1" applyBorder="1"/>
    <xf numFmtId="0" fontId="9" fillId="4" borderId="1" xfId="0" applyFont="1" applyFill="1" applyBorder="1" applyAlignment="1">
      <alignment horizontal="left" vertical="center" readingOrder="1"/>
    </xf>
    <xf numFmtId="164" fontId="12" fillId="3" borderId="10" xfId="0" applyNumberFormat="1" applyFont="1" applyFill="1" applyBorder="1" applyAlignment="1">
      <alignment horizontal="right" vertical="center" wrapText="1" readingOrder="1"/>
    </xf>
    <xf numFmtId="0" fontId="13" fillId="4" borderId="9" xfId="0" applyFont="1" applyFill="1" applyBorder="1" applyAlignment="1">
      <alignment horizontal="left" vertical="center" readingOrder="1"/>
    </xf>
    <xf numFmtId="164" fontId="13" fillId="6" borderId="2" xfId="0" applyNumberFormat="1" applyFont="1" applyFill="1" applyBorder="1" applyAlignment="1">
      <alignment horizontal="right" vertical="center" wrapText="1" readingOrder="1"/>
    </xf>
    <xf numFmtId="0" fontId="11" fillId="0" borderId="0" xfId="0" applyFont="1" applyBorder="1" applyAlignment="1"/>
    <xf numFmtId="0" fontId="7" fillId="7" borderId="3" xfId="0" applyFont="1" applyFill="1" applyBorder="1" applyAlignment="1"/>
    <xf numFmtId="0" fontId="11" fillId="7" borderId="4" xfId="0" applyFont="1" applyFill="1" applyBorder="1"/>
    <xf numFmtId="3" fontId="11" fillId="0" borderId="0" xfId="0" applyNumberFormat="1" applyFont="1" applyBorder="1"/>
    <xf numFmtId="164" fontId="13" fillId="4" borderId="0" xfId="0" applyNumberFormat="1" applyFont="1" applyFill="1" applyBorder="1" applyAlignment="1">
      <alignment horizontal="right" vertical="center" wrapText="1" readingOrder="1"/>
    </xf>
    <xf numFmtId="0" fontId="18" fillId="0" borderId="0" xfId="0" applyFont="1" applyBorder="1" applyAlignment="1"/>
    <xf numFmtId="164" fontId="18" fillId="8" borderId="0" xfId="0" applyNumberFormat="1" applyFont="1" applyFill="1" applyBorder="1"/>
    <xf numFmtId="3" fontId="11" fillId="8" borderId="0" xfId="0" applyNumberFormat="1" applyFont="1" applyFill="1" applyBorder="1"/>
    <xf numFmtId="164" fontId="12" fillId="3" borderId="0" xfId="0" applyNumberFormat="1" applyFont="1" applyFill="1" applyBorder="1"/>
    <xf numFmtId="3" fontId="11" fillId="0" borderId="0" xfId="0" applyNumberFormat="1" applyFont="1" applyFill="1" applyBorder="1"/>
    <xf numFmtId="3" fontId="18" fillId="9" borderId="0" xfId="0" applyNumberFormat="1" applyFont="1" applyFill="1" applyBorder="1"/>
    <xf numFmtId="164" fontId="16" fillId="3" borderId="0" xfId="0" applyNumberFormat="1" applyFont="1" applyFill="1" applyBorder="1"/>
    <xf numFmtId="43" fontId="12" fillId="3" borderId="8" xfId="3" applyFont="1" applyFill="1" applyBorder="1" applyAlignment="1" applyProtection="1">
      <alignment vertical="top"/>
      <protection locked="0"/>
    </xf>
    <xf numFmtId="43" fontId="12" fillId="3" borderId="10" xfId="3" applyFont="1" applyFill="1" applyBorder="1" applyAlignment="1" applyProtection="1">
      <alignment vertical="top"/>
      <protection locked="0"/>
    </xf>
    <xf numFmtId="0" fontId="11" fillId="10" borderId="0" xfId="0" applyFont="1" applyFill="1"/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vertical="top"/>
    </xf>
    <xf numFmtId="9" fontId="11" fillId="4" borderId="0" xfId="0" applyNumberFormat="1" applyFont="1" applyFill="1" applyBorder="1" applyAlignment="1">
      <alignment vertical="top"/>
    </xf>
    <xf numFmtId="2" fontId="18" fillId="4" borderId="0" xfId="0" applyNumberFormat="1" applyFont="1" applyFill="1" applyBorder="1" applyAlignment="1">
      <alignment vertical="top"/>
    </xf>
    <xf numFmtId="164" fontId="18" fillId="4" borderId="0" xfId="0" applyNumberFormat="1" applyFont="1" applyFill="1" applyBorder="1" applyAlignment="1">
      <alignment vertical="top"/>
    </xf>
    <xf numFmtId="9" fontId="18" fillId="4" borderId="0" xfId="0" applyNumberFormat="1" applyFont="1" applyFill="1" applyBorder="1" applyAlignment="1">
      <alignment vertical="top"/>
    </xf>
    <xf numFmtId="0" fontId="11" fillId="4" borderId="0" xfId="0" applyFont="1" applyFill="1" applyBorder="1" applyAlignment="1">
      <alignment vertical="top"/>
    </xf>
    <xf numFmtId="0" fontId="11" fillId="4" borderId="7" xfId="0" applyFont="1" applyFill="1" applyBorder="1" applyAlignment="1">
      <alignment vertical="top"/>
    </xf>
    <xf numFmtId="164" fontId="13" fillId="6" borderId="0" xfId="0" applyNumberFormat="1" applyFont="1" applyFill="1" applyBorder="1" applyAlignment="1">
      <alignment horizontal="right" vertical="center" wrapText="1" readingOrder="1"/>
    </xf>
    <xf numFmtId="0" fontId="11" fillId="6" borderId="0" xfId="0" applyFont="1" applyFill="1" applyBorder="1" applyAlignment="1"/>
    <xf numFmtId="3" fontId="9" fillId="6" borderId="0" xfId="0" applyNumberFormat="1" applyFont="1" applyFill="1" applyBorder="1" applyAlignment="1">
      <alignment horizontal="right" vertical="center" readingOrder="1"/>
    </xf>
    <xf numFmtId="164" fontId="9" fillId="4" borderId="0" xfId="0" applyNumberFormat="1" applyFont="1" applyFill="1" applyBorder="1" applyAlignment="1">
      <alignment horizontal="right" vertical="center" wrapText="1" readingOrder="1"/>
    </xf>
    <xf numFmtId="164" fontId="2" fillId="4" borderId="0" xfId="0" applyNumberFormat="1" applyFont="1" applyFill="1" applyBorder="1" applyAlignment="1">
      <alignment horizontal="right" vertical="center" wrapText="1" readingOrder="1"/>
    </xf>
    <xf numFmtId="4" fontId="12" fillId="4" borderId="0" xfId="0" applyNumberFormat="1" applyFont="1" applyFill="1" applyBorder="1" applyAlignment="1">
      <alignment horizontal="right" vertical="center" wrapText="1" readingOrder="1"/>
    </xf>
    <xf numFmtId="9" fontId="11" fillId="4" borderId="0" xfId="0" applyNumberFormat="1" applyFont="1" applyFill="1" applyBorder="1"/>
    <xf numFmtId="0" fontId="20" fillId="4" borderId="0" xfId="0" applyFont="1" applyFill="1" applyBorder="1" applyAlignment="1">
      <alignment horizontal="left" vertical="top" readingOrder="1"/>
    </xf>
    <xf numFmtId="9" fontId="11" fillId="0" borderId="0" xfId="0" applyNumberFormat="1" applyFont="1" applyBorder="1" applyAlignment="1">
      <alignment horizontal="right" vertical="center" wrapText="1" readingOrder="1"/>
    </xf>
    <xf numFmtId="0" fontId="11" fillId="2" borderId="22" xfId="0" applyFont="1" applyFill="1" applyBorder="1"/>
    <xf numFmtId="3" fontId="9" fillId="2" borderId="23" xfId="0" applyNumberFormat="1" applyFont="1" applyFill="1" applyBorder="1" applyAlignment="1">
      <alignment horizontal="right" vertical="center" wrapText="1" readingOrder="1"/>
    </xf>
    <xf numFmtId="0" fontId="13" fillId="6" borderId="22" xfId="0" applyFont="1" applyFill="1" applyBorder="1" applyAlignment="1">
      <alignment horizontal="left" vertical="center" wrapText="1" readingOrder="1"/>
    </xf>
    <xf numFmtId="3" fontId="13" fillId="6" borderId="24" xfId="0" applyNumberFormat="1" applyFont="1" applyFill="1" applyBorder="1" applyAlignment="1">
      <alignment horizontal="right" vertical="center" wrapText="1" readingOrder="1"/>
    </xf>
    <xf numFmtId="0" fontId="13" fillId="4" borderId="22" xfId="0" applyFont="1" applyFill="1" applyBorder="1" applyAlignment="1">
      <alignment horizontal="left" vertical="center" wrapText="1" readingOrder="1"/>
    </xf>
    <xf numFmtId="3" fontId="9" fillId="4" borderId="23" xfId="0" applyNumberFormat="1" applyFont="1" applyFill="1" applyBorder="1" applyAlignment="1">
      <alignment horizontal="right" vertical="center" wrapText="1" readingOrder="1"/>
    </xf>
    <xf numFmtId="0" fontId="9" fillId="4" borderId="22" xfId="0" applyFont="1" applyFill="1" applyBorder="1" applyAlignment="1">
      <alignment horizontal="left" vertical="center" wrapText="1" readingOrder="1"/>
    </xf>
    <xf numFmtId="3" fontId="13" fillId="4" borderId="23" xfId="0" applyNumberFormat="1" applyFont="1" applyFill="1" applyBorder="1" applyAlignment="1">
      <alignment horizontal="right" vertical="center" wrapText="1" readingOrder="1"/>
    </xf>
    <xf numFmtId="4" fontId="9" fillId="4" borderId="23" xfId="0" applyNumberFormat="1" applyFont="1" applyFill="1" applyBorder="1" applyAlignment="1">
      <alignment horizontal="right" vertical="center" wrapText="1" readingOrder="1"/>
    </xf>
    <xf numFmtId="0" fontId="13" fillId="4" borderId="22" xfId="0" applyFont="1" applyFill="1" applyBorder="1" applyAlignment="1">
      <alignment horizontal="left" vertical="center" readingOrder="1"/>
    </xf>
    <xf numFmtId="9" fontId="10" fillId="0" borderId="23" xfId="0" applyNumberFormat="1" applyFont="1" applyBorder="1" applyAlignment="1">
      <alignment horizontal="right" vertical="center" wrapText="1" readingOrder="1"/>
    </xf>
    <xf numFmtId="3" fontId="13" fillId="4" borderId="25" xfId="0" applyNumberFormat="1" applyFont="1" applyFill="1" applyBorder="1" applyAlignment="1">
      <alignment horizontal="right" vertical="center" wrapText="1" readingOrder="1"/>
    </xf>
    <xf numFmtId="3" fontId="12" fillId="3" borderId="23" xfId="0" applyNumberFormat="1" applyFont="1" applyFill="1" applyBorder="1" applyAlignment="1">
      <alignment horizontal="right" vertical="center" wrapText="1" readingOrder="1"/>
    </xf>
    <xf numFmtId="0" fontId="9" fillId="4" borderId="22" xfId="0" applyFont="1" applyFill="1" applyBorder="1" applyAlignment="1">
      <alignment horizontal="left" vertical="center" readingOrder="1"/>
    </xf>
    <xf numFmtId="3" fontId="9" fillId="4" borderId="25" xfId="0" applyNumberFormat="1" applyFont="1" applyFill="1" applyBorder="1" applyAlignment="1">
      <alignment horizontal="right" vertical="center" wrapText="1" readingOrder="1"/>
    </xf>
    <xf numFmtId="3" fontId="12" fillId="3" borderId="25" xfId="0" applyNumberFormat="1" applyFont="1" applyFill="1" applyBorder="1" applyAlignment="1">
      <alignment horizontal="right" vertical="center" wrapText="1" readingOrder="1"/>
    </xf>
    <xf numFmtId="4" fontId="13" fillId="4" borderId="26" xfId="0" applyNumberFormat="1" applyFont="1" applyFill="1" applyBorder="1" applyAlignment="1">
      <alignment horizontal="right" vertical="center" wrapText="1" readingOrder="1"/>
    </xf>
    <xf numFmtId="0" fontId="11" fillId="0" borderId="23" xfId="0" applyFont="1" applyBorder="1"/>
    <xf numFmtId="0" fontId="21" fillId="7" borderId="27" xfId="0" applyFont="1" applyFill="1" applyBorder="1"/>
    <xf numFmtId="3" fontId="11" fillId="0" borderId="23" xfId="0" applyNumberFormat="1" applyFont="1" applyBorder="1"/>
    <xf numFmtId="0" fontId="20" fillId="4" borderId="22" xfId="0" applyFont="1" applyFill="1" applyBorder="1" applyAlignment="1">
      <alignment horizontal="left" vertical="top" readingOrder="1"/>
    </xf>
    <xf numFmtId="3" fontId="11" fillId="0" borderId="25" xfId="0" applyNumberFormat="1" applyFont="1" applyBorder="1"/>
    <xf numFmtId="169" fontId="18" fillId="0" borderId="23" xfId="0" applyNumberFormat="1" applyFont="1" applyBorder="1"/>
    <xf numFmtId="9" fontId="11" fillId="0" borderId="23" xfId="0" applyNumberFormat="1" applyFont="1" applyBorder="1" applyAlignment="1">
      <alignment horizontal="right" vertical="center" wrapText="1" readingOrder="1"/>
    </xf>
    <xf numFmtId="0" fontId="20" fillId="4" borderId="28" xfId="0" applyFont="1" applyFill="1" applyBorder="1" applyAlignment="1">
      <alignment horizontal="left" vertical="top" readingOrder="1"/>
    </xf>
    <xf numFmtId="0" fontId="11" fillId="0" borderId="29" xfId="0" applyFont="1" applyBorder="1"/>
    <xf numFmtId="0" fontId="13" fillId="0" borderId="29" xfId="0" applyFont="1" applyBorder="1" applyAlignment="1">
      <alignment horizontal="right" vertical="center" wrapText="1" readingOrder="1"/>
    </xf>
    <xf numFmtId="0" fontId="11" fillId="0" borderId="30" xfId="0" applyFont="1" applyBorder="1"/>
    <xf numFmtId="0" fontId="11" fillId="7" borderId="22" xfId="0" applyFont="1" applyFill="1" applyBorder="1"/>
    <xf numFmtId="0" fontId="11" fillId="7" borderId="0" xfId="0" applyFont="1" applyFill="1" applyBorder="1"/>
    <xf numFmtId="3" fontId="21" fillId="7" borderId="22" xfId="0" applyNumberFormat="1" applyFont="1" applyFill="1" applyBorder="1"/>
    <xf numFmtId="3" fontId="22" fillId="8" borderId="0" xfId="0" applyNumberFormat="1" applyFont="1" applyFill="1" applyBorder="1"/>
    <xf numFmtId="164" fontId="18" fillId="8" borderId="23" xfId="0" applyNumberFormat="1" applyFont="1" applyFill="1" applyBorder="1"/>
    <xf numFmtId="3" fontId="11" fillId="0" borderId="23" xfId="0" applyNumberFormat="1" applyFont="1" applyFill="1" applyBorder="1"/>
    <xf numFmtId="164" fontId="18" fillId="8" borderId="29" xfId="0" applyNumberFormat="1" applyFont="1" applyFill="1" applyBorder="1"/>
    <xf numFmtId="3" fontId="11" fillId="0" borderId="29" xfId="0" applyNumberFormat="1" applyFont="1" applyBorder="1"/>
    <xf numFmtId="3" fontId="11" fillId="0" borderId="30" xfId="0" applyNumberFormat="1" applyFont="1" applyBorder="1"/>
    <xf numFmtId="10" fontId="21" fillId="7" borderId="22" xfId="2" applyNumberFormat="1" applyFont="1" applyFill="1" applyBorder="1"/>
    <xf numFmtId="3" fontId="23" fillId="8" borderId="0" xfId="0" applyNumberFormat="1" applyFont="1" applyFill="1" applyBorder="1"/>
    <xf numFmtId="0" fontId="24" fillId="2" borderId="31" xfId="0" applyFont="1" applyFill="1" applyBorder="1" applyAlignment="1">
      <alignment vertical="center" wrapText="1" readingOrder="1"/>
    </xf>
    <xf numFmtId="0" fontId="7" fillId="2" borderId="32" xfId="0" applyFont="1" applyFill="1" applyBorder="1" applyAlignment="1">
      <alignment vertical="center" wrapText="1" readingOrder="1"/>
    </xf>
    <xf numFmtId="0" fontId="7" fillId="2" borderId="26" xfId="0" applyFont="1" applyFill="1" applyBorder="1" applyAlignment="1">
      <alignment horizontal="right"/>
    </xf>
    <xf numFmtId="0" fontId="9" fillId="0" borderId="31" xfId="0" applyFont="1" applyBorder="1" applyAlignment="1" applyProtection="1">
      <alignment horizontal="left" vertical="center" wrapText="1" readingOrder="1"/>
      <protection hidden="1"/>
    </xf>
    <xf numFmtId="3" fontId="9" fillId="4" borderId="23" xfId="0" applyNumberFormat="1" applyFont="1" applyFill="1" applyBorder="1" applyAlignment="1" applyProtection="1">
      <alignment horizontal="right" vertical="center" wrapText="1" readingOrder="1"/>
      <protection hidden="1"/>
    </xf>
    <xf numFmtId="0" fontId="10" fillId="0" borderId="33" xfId="0" applyFont="1" applyBorder="1" applyAlignment="1" applyProtection="1">
      <alignment horizontal="left" vertical="center" wrapText="1" indent="3" readingOrder="1"/>
      <protection hidden="1"/>
    </xf>
    <xf numFmtId="164" fontId="12" fillId="3" borderId="34" xfId="0" applyNumberFormat="1" applyFont="1" applyFill="1" applyBorder="1" applyProtection="1">
      <protection locked="0"/>
    </xf>
    <xf numFmtId="0" fontId="9" fillId="0" borderId="33" xfId="0" applyFont="1" applyBorder="1" applyAlignment="1" applyProtection="1">
      <alignment horizontal="left" vertical="center" wrapText="1" readingOrder="1"/>
      <protection hidden="1"/>
    </xf>
    <xf numFmtId="6" fontId="9" fillId="4" borderId="34" xfId="0" applyNumberFormat="1" applyFont="1" applyFill="1" applyBorder="1" applyAlignment="1" applyProtection="1">
      <alignment horizontal="right" vertical="center" wrapText="1" readingOrder="1"/>
      <protection hidden="1"/>
    </xf>
    <xf numFmtId="0" fontId="13" fillId="5" borderId="33" xfId="0" applyFont="1" applyFill="1" applyBorder="1" applyAlignment="1" applyProtection="1">
      <alignment horizontal="left" vertical="center" wrapText="1" readingOrder="1"/>
      <protection hidden="1"/>
    </xf>
    <xf numFmtId="6" fontId="13" fillId="5" borderId="34" xfId="0" applyNumberFormat="1" applyFont="1" applyFill="1" applyBorder="1" applyAlignment="1" applyProtection="1">
      <alignment horizontal="right" vertical="center" wrapText="1" readingOrder="1"/>
      <protection hidden="1"/>
    </xf>
    <xf numFmtId="164" fontId="13" fillId="5" borderId="34" xfId="2" applyNumberFormat="1" applyFont="1" applyFill="1" applyBorder="1" applyAlignment="1" applyProtection="1">
      <alignment horizontal="right" vertical="center" wrapText="1" readingOrder="1"/>
      <protection hidden="1"/>
    </xf>
    <xf numFmtId="0" fontId="13" fillId="4" borderId="33" xfId="0" applyFont="1" applyFill="1" applyBorder="1" applyAlignment="1" applyProtection="1">
      <alignment horizontal="left" vertical="center" wrapText="1" readingOrder="1"/>
      <protection hidden="1"/>
    </xf>
    <xf numFmtId="6" fontId="13" fillId="4" borderId="34" xfId="2" applyNumberFormat="1" applyFont="1" applyFill="1" applyBorder="1" applyAlignment="1" applyProtection="1">
      <alignment horizontal="right" vertical="center" wrapText="1" readingOrder="1"/>
      <protection hidden="1"/>
    </xf>
    <xf numFmtId="0" fontId="11" fillId="4" borderId="35" xfId="0" applyFont="1" applyFill="1" applyBorder="1" applyProtection="1">
      <protection hidden="1"/>
    </xf>
    <xf numFmtId="0" fontId="13" fillId="5" borderId="22" xfId="0" applyFont="1" applyFill="1" applyBorder="1" applyAlignment="1" applyProtection="1">
      <alignment horizontal="left" vertical="center" wrapText="1" readingOrder="1"/>
      <protection hidden="1"/>
    </xf>
    <xf numFmtId="3" fontId="13" fillId="5" borderId="36" xfId="0" applyNumberFormat="1" applyFont="1" applyFill="1" applyBorder="1" applyAlignment="1" applyProtection="1">
      <alignment horizontal="right"/>
      <protection hidden="1"/>
    </xf>
    <xf numFmtId="0" fontId="14" fillId="5" borderId="33" xfId="0" applyFont="1" applyFill="1" applyBorder="1" applyAlignment="1" applyProtection="1">
      <alignment horizontal="left" vertical="center" wrapText="1" indent="3" readingOrder="1"/>
      <protection hidden="1"/>
    </xf>
    <xf numFmtId="164" fontId="14" fillId="5" borderId="23" xfId="0" applyNumberFormat="1" applyFont="1" applyFill="1" applyBorder="1" applyAlignment="1" applyProtection="1">
      <alignment horizontal="right" vertical="center" wrapText="1" readingOrder="1"/>
      <protection hidden="1"/>
    </xf>
    <xf numFmtId="0" fontId="11" fillId="4" borderId="23" xfId="0" applyFont="1" applyFill="1" applyBorder="1" applyProtection="1">
      <protection hidden="1"/>
    </xf>
    <xf numFmtId="165" fontId="11" fillId="4" borderId="23" xfId="0" applyNumberFormat="1" applyFont="1" applyFill="1" applyBorder="1" applyProtection="1">
      <protection hidden="1"/>
    </xf>
    <xf numFmtId="164" fontId="12" fillId="3" borderId="37" xfId="0" applyNumberFormat="1" applyFont="1" applyFill="1" applyBorder="1" applyProtection="1">
      <protection locked="0"/>
    </xf>
    <xf numFmtId="3" fontId="13" fillId="5" borderId="34" xfId="0" applyNumberFormat="1" applyFont="1" applyFill="1" applyBorder="1" applyAlignment="1" applyProtection="1">
      <alignment horizontal="right" vertical="center" wrapText="1" readingOrder="1"/>
      <protection hidden="1"/>
    </xf>
    <xf numFmtId="0" fontId="11" fillId="0" borderId="23" xfId="0" applyFont="1" applyBorder="1" applyProtection="1">
      <protection hidden="1"/>
    </xf>
    <xf numFmtId="165" fontId="9" fillId="0" borderId="23" xfId="0" applyNumberFormat="1" applyFont="1" applyBorder="1" applyAlignment="1" applyProtection="1">
      <alignment horizontal="right" vertical="center" wrapText="1" readingOrder="1"/>
      <protection hidden="1"/>
    </xf>
    <xf numFmtId="3" fontId="9" fillId="0" borderId="23" xfId="0" applyNumberFormat="1" applyFont="1" applyBorder="1" applyAlignment="1" applyProtection="1">
      <alignment horizontal="right" vertical="center" wrapText="1" readingOrder="1"/>
      <protection hidden="1"/>
    </xf>
    <xf numFmtId="164" fontId="15" fillId="3" borderId="23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4" borderId="33" xfId="0" applyFont="1" applyFill="1" applyBorder="1" applyAlignment="1" applyProtection="1">
      <alignment horizontal="left" vertical="center" wrapText="1" readingOrder="1"/>
      <protection hidden="1"/>
    </xf>
    <xf numFmtId="165" fontId="13" fillId="4" borderId="23" xfId="0" applyNumberFormat="1" applyFont="1" applyFill="1" applyBorder="1" applyAlignment="1" applyProtection="1">
      <alignment horizontal="right" vertical="center" wrapText="1" readingOrder="1"/>
      <protection hidden="1"/>
    </xf>
    <xf numFmtId="3" fontId="9" fillId="0" borderId="35" xfId="0" applyNumberFormat="1" applyFont="1" applyBorder="1" applyAlignment="1" applyProtection="1">
      <alignment horizontal="right" vertical="center" wrapText="1" readingOrder="1"/>
      <protection hidden="1"/>
    </xf>
    <xf numFmtId="0" fontId="13" fillId="6" borderId="33" xfId="0" applyFont="1" applyFill="1" applyBorder="1" applyAlignment="1" applyProtection="1">
      <alignment horizontal="left" vertical="center" wrapText="1" readingOrder="1"/>
      <protection hidden="1"/>
    </xf>
    <xf numFmtId="3" fontId="13" fillId="6" borderId="23" xfId="0" applyNumberFormat="1" applyFont="1" applyFill="1" applyBorder="1" applyAlignment="1" applyProtection="1">
      <alignment horizontal="right" vertical="center" wrapText="1" readingOrder="1"/>
      <protection hidden="1"/>
    </xf>
    <xf numFmtId="43" fontId="9" fillId="0" borderId="23" xfId="3" applyFont="1" applyBorder="1" applyAlignment="1" applyProtection="1">
      <alignment horizontal="right" vertical="center" wrapText="1" readingOrder="1"/>
      <protection hidden="1"/>
    </xf>
    <xf numFmtId="43" fontId="9" fillId="0" borderId="35" xfId="3" applyFont="1" applyBorder="1" applyAlignment="1" applyProtection="1">
      <alignment horizontal="right" vertical="center" wrapText="1" readingOrder="1"/>
      <protection hidden="1"/>
    </xf>
    <xf numFmtId="3" fontId="9" fillId="0" borderId="38" xfId="0" applyNumberFormat="1" applyFont="1" applyFill="1" applyBorder="1" applyAlignment="1" applyProtection="1">
      <alignment horizontal="right" vertical="center" wrapText="1" readingOrder="1"/>
      <protection hidden="1"/>
    </xf>
    <xf numFmtId="3" fontId="13" fillId="6" borderId="39" xfId="0" applyNumberFormat="1" applyFont="1" applyFill="1" applyBorder="1" applyAlignment="1" applyProtection="1">
      <alignment horizontal="right" vertical="center" wrapText="1" readingOrder="1"/>
      <protection hidden="1"/>
    </xf>
    <xf numFmtId="3" fontId="13" fillId="6" borderId="29" xfId="0" applyNumberFormat="1" applyFont="1" applyFill="1" applyBorder="1" applyAlignment="1" applyProtection="1">
      <alignment horizontal="right" vertical="center" wrapText="1" readingOrder="1"/>
      <protection hidden="1"/>
    </xf>
    <xf numFmtId="3" fontId="13" fillId="6" borderId="30" xfId="0" applyNumberFormat="1" applyFont="1" applyFill="1" applyBorder="1" applyAlignment="1" applyProtection="1">
      <alignment horizontal="right" vertical="center" wrapText="1" readingOrder="1"/>
      <protection hidden="1"/>
    </xf>
    <xf numFmtId="0" fontId="13" fillId="6" borderId="40" xfId="0" applyFont="1" applyFill="1" applyBorder="1" applyAlignment="1">
      <alignment horizontal="left" vertical="center" wrapText="1" readingOrder="1"/>
    </xf>
    <xf numFmtId="3" fontId="9" fillId="6" borderId="41" xfId="0" applyNumberFormat="1" applyFont="1" applyFill="1" applyBorder="1" applyAlignment="1">
      <alignment horizontal="right" vertical="center" wrapText="1" readingOrder="1"/>
    </xf>
    <xf numFmtId="0" fontId="9" fillId="0" borderId="22" xfId="0" applyFont="1" applyBorder="1" applyAlignment="1">
      <alignment horizontal="left" vertical="center" wrapText="1" readingOrder="1"/>
    </xf>
    <xf numFmtId="3" fontId="9" fillId="0" borderId="23" xfId="0" applyNumberFormat="1" applyFont="1" applyBorder="1" applyAlignment="1">
      <alignment horizontal="right" vertical="center" wrapText="1" readingOrder="1"/>
    </xf>
    <xf numFmtId="164" fontId="16" fillId="3" borderId="23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0" borderId="22" xfId="0" applyFont="1" applyBorder="1"/>
    <xf numFmtId="167" fontId="13" fillId="0" borderId="23" xfId="0" applyNumberFormat="1" applyFont="1" applyBorder="1" applyAlignment="1">
      <alignment horizontal="right" vertical="center" wrapText="1" readingOrder="1"/>
    </xf>
    <xf numFmtId="168" fontId="9" fillId="0" borderId="23" xfId="0" applyNumberFormat="1" applyFont="1" applyBorder="1" applyAlignment="1">
      <alignment horizontal="right" vertical="center" wrapText="1" readingOrder="1"/>
    </xf>
    <xf numFmtId="0" fontId="18" fillId="6" borderId="22" xfId="0" applyFont="1" applyFill="1" applyBorder="1"/>
    <xf numFmtId="3" fontId="13" fillId="6" borderId="23" xfId="0" applyNumberFormat="1" applyFont="1" applyFill="1" applyBorder="1" applyAlignment="1">
      <alignment horizontal="right" vertical="center" wrapText="1" readingOrder="1"/>
    </xf>
    <xf numFmtId="0" fontId="10" fillId="0" borderId="42" xfId="0" applyFont="1" applyBorder="1" applyAlignment="1">
      <alignment vertical="center" wrapText="1" readingOrder="1"/>
    </xf>
    <xf numFmtId="9" fontId="10" fillId="0" borderId="30" xfId="0" applyNumberFormat="1" applyFont="1" applyBorder="1" applyAlignment="1">
      <alignment horizontal="right" vertical="center" wrapText="1" readingOrder="1"/>
    </xf>
    <xf numFmtId="0" fontId="24" fillId="7" borderId="43" xfId="0" applyFont="1" applyFill="1" applyBorder="1" applyAlignment="1">
      <alignment vertical="center" wrapText="1" readingOrder="1"/>
    </xf>
    <xf numFmtId="0" fontId="7" fillId="7" borderId="44" xfId="0" applyFont="1" applyFill="1" applyBorder="1" applyAlignment="1">
      <alignment horizontal="center" vertical="center" wrapText="1" readingOrder="1"/>
    </xf>
    <xf numFmtId="0" fontId="7" fillId="7" borderId="32" xfId="0" applyFont="1" applyFill="1" applyBorder="1" applyAlignment="1">
      <alignment vertical="center" wrapText="1" readingOrder="1"/>
    </xf>
    <xf numFmtId="0" fontId="7" fillId="7" borderId="26" xfId="0" applyFont="1" applyFill="1" applyBorder="1" applyAlignment="1">
      <alignment horizontal="right" vertical="center" wrapText="1" readingOrder="1"/>
    </xf>
    <xf numFmtId="0" fontId="13" fillId="0" borderId="22" xfId="0" applyFont="1" applyBorder="1" applyAlignment="1">
      <alignment horizontal="left" vertical="center" wrapText="1" readingOrder="1"/>
    </xf>
    <xf numFmtId="165" fontId="13" fillId="0" borderId="23" xfId="0" applyNumberFormat="1" applyFont="1" applyBorder="1" applyAlignment="1">
      <alignment horizontal="right" vertical="center" wrapText="1" readingOrder="1"/>
    </xf>
    <xf numFmtId="0" fontId="10" fillId="0" borderId="33" xfId="0" applyFont="1" applyBorder="1" applyAlignment="1">
      <alignment horizontal="left" vertical="center" wrapText="1" indent="3" readingOrder="1"/>
    </xf>
    <xf numFmtId="164" fontId="12" fillId="3" borderId="45" xfId="0" applyNumberFormat="1" applyFont="1" applyFill="1" applyBorder="1" applyAlignment="1" applyProtection="1">
      <alignment horizontal="right" vertical="center" wrapText="1" readingOrder="1"/>
      <protection locked="0"/>
    </xf>
    <xf numFmtId="9" fontId="9" fillId="0" borderId="23" xfId="0" applyNumberFormat="1" applyFont="1" applyBorder="1" applyAlignment="1">
      <alignment horizontal="right" vertical="center" wrapText="1" readingOrder="1"/>
    </xf>
    <xf numFmtId="3" fontId="9" fillId="0" borderId="35" xfId="0" applyNumberFormat="1" applyFont="1" applyBorder="1" applyAlignment="1">
      <alignment horizontal="right" vertical="center" wrapText="1" readingOrder="1"/>
    </xf>
    <xf numFmtId="0" fontId="10" fillId="0" borderId="42" xfId="0" applyFont="1" applyBorder="1" applyAlignment="1">
      <alignment horizontal="left" vertical="center" wrapText="1" indent="3" readingOrder="1"/>
    </xf>
    <xf numFmtId="164" fontId="10" fillId="0" borderId="29" xfId="2" applyNumberFormat="1" applyFont="1" applyBorder="1" applyAlignment="1">
      <alignment horizontal="right" vertical="center" wrapText="1" readingOrder="1"/>
    </xf>
    <xf numFmtId="164" fontId="9" fillId="0" borderId="46" xfId="2" applyNumberFormat="1" applyFont="1" applyBorder="1" applyAlignment="1">
      <alignment horizontal="right" vertical="center" wrapText="1" readingOrder="1"/>
    </xf>
    <xf numFmtId="164" fontId="25" fillId="0" borderId="29" xfId="2" applyNumberFormat="1" applyFont="1" applyBorder="1" applyAlignment="1">
      <alignment horizontal="right" vertical="center" wrapText="1" readingOrder="1"/>
    </xf>
    <xf numFmtId="164" fontId="25" fillId="0" borderId="30" xfId="2" applyNumberFormat="1" applyFont="1" applyBorder="1" applyAlignment="1">
      <alignment horizontal="right" vertical="center" wrapText="1" readingOrder="1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vertical="top"/>
    </xf>
    <xf numFmtId="2" fontId="11" fillId="4" borderId="23" xfId="0" applyNumberFormat="1" applyFont="1" applyFill="1" applyBorder="1" applyAlignment="1">
      <alignment vertical="top"/>
    </xf>
    <xf numFmtId="0" fontId="11" fillId="4" borderId="47" xfId="0" applyFont="1" applyFill="1" applyBorder="1" applyAlignment="1">
      <alignment vertical="top"/>
    </xf>
    <xf numFmtId="0" fontId="11" fillId="4" borderId="35" xfId="0" applyFont="1" applyFill="1" applyBorder="1" applyAlignment="1">
      <alignment vertical="top"/>
    </xf>
    <xf numFmtId="0" fontId="18" fillId="4" borderId="22" xfId="0" applyFont="1" applyFill="1" applyBorder="1" applyAlignment="1">
      <alignment vertical="top"/>
    </xf>
    <xf numFmtId="2" fontId="18" fillId="4" borderId="23" xfId="0" applyNumberFormat="1" applyFont="1" applyFill="1" applyBorder="1" applyAlignment="1">
      <alignment vertical="top"/>
    </xf>
    <xf numFmtId="0" fontId="11" fillId="4" borderId="23" xfId="0" applyFont="1" applyFill="1" applyBorder="1" applyAlignment="1">
      <alignment vertical="top"/>
    </xf>
    <xf numFmtId="0" fontId="20" fillId="4" borderId="48" xfId="0" applyFont="1" applyFill="1" applyBorder="1" applyAlignment="1">
      <alignment horizontal="left" vertical="top" readingOrder="1"/>
    </xf>
    <xf numFmtId="0" fontId="11" fillId="4" borderId="26" xfId="0" applyFont="1" applyFill="1" applyBorder="1" applyAlignment="1">
      <alignment vertical="top"/>
    </xf>
    <xf numFmtId="0" fontId="7" fillId="2" borderId="22" xfId="0" applyFont="1" applyFill="1" applyBorder="1" applyAlignment="1">
      <alignment vertical="top" wrapText="1"/>
    </xf>
    <xf numFmtId="0" fontId="21" fillId="4" borderId="0" xfId="0" applyFont="1" applyFill="1" applyBorder="1" applyAlignment="1">
      <alignment horizontal="center" vertical="top" wrapText="1"/>
    </xf>
    <xf numFmtId="0" fontId="11" fillId="4" borderId="28" xfId="0" applyFont="1" applyFill="1" applyBorder="1" applyAlignment="1">
      <alignment vertical="top"/>
    </xf>
    <xf numFmtId="0" fontId="11" fillId="4" borderId="29" xfId="0" applyFont="1" applyFill="1" applyBorder="1" applyAlignment="1">
      <alignment vertical="top"/>
    </xf>
    <xf numFmtId="2" fontId="11" fillId="4" borderId="49" xfId="0" applyNumberFormat="1" applyFont="1" applyFill="1" applyBorder="1" applyAlignment="1">
      <alignment vertical="top"/>
    </xf>
    <xf numFmtId="164" fontId="11" fillId="4" borderId="49" xfId="0" applyNumberFormat="1" applyFont="1" applyFill="1" applyBorder="1" applyAlignment="1">
      <alignment vertical="top"/>
    </xf>
    <xf numFmtId="9" fontId="11" fillId="4" borderId="49" xfId="0" applyNumberFormat="1" applyFont="1" applyFill="1" applyBorder="1" applyAlignment="1">
      <alignment vertical="top"/>
    </xf>
    <xf numFmtId="2" fontId="11" fillId="6" borderId="49" xfId="0" applyNumberFormat="1" applyFont="1" applyFill="1" applyBorder="1" applyAlignment="1">
      <alignment vertical="top"/>
    </xf>
    <xf numFmtId="0" fontId="11" fillId="4" borderId="30" xfId="0" applyFont="1" applyFill="1" applyBorder="1" applyAlignment="1">
      <alignment vertical="top"/>
    </xf>
    <xf numFmtId="0" fontId="7" fillId="7" borderId="0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 vertical="center" textRotation="90"/>
    </xf>
    <xf numFmtId="0" fontId="7" fillId="7" borderId="28" xfId="0" applyFont="1" applyFill="1" applyBorder="1" applyAlignment="1">
      <alignment horizontal="center" vertical="center" textRotation="90"/>
    </xf>
    <xf numFmtId="0" fontId="7" fillId="7" borderId="52" xfId="0" applyFont="1" applyFill="1" applyBorder="1" applyAlignment="1">
      <alignment horizontal="center"/>
    </xf>
    <xf numFmtId="0" fontId="7" fillId="7" borderId="53" xfId="0" applyFont="1" applyFill="1" applyBorder="1" applyAlignment="1">
      <alignment horizontal="center"/>
    </xf>
    <xf numFmtId="0" fontId="7" fillId="7" borderId="54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7" borderId="51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 vertical="center" readingOrder="1"/>
    </xf>
    <xf numFmtId="0" fontId="7" fillId="2" borderId="53" xfId="0" applyFont="1" applyFill="1" applyBorder="1" applyAlignment="1">
      <alignment horizontal="center" vertical="center" readingOrder="1"/>
    </xf>
    <xf numFmtId="0" fontId="7" fillId="2" borderId="54" xfId="0" applyFont="1" applyFill="1" applyBorder="1" applyAlignment="1">
      <alignment horizontal="center" vertical="center" readingOrder="1"/>
    </xf>
    <xf numFmtId="0" fontId="7" fillId="2" borderId="21" xfId="0" applyFont="1" applyFill="1" applyBorder="1" applyAlignment="1">
      <alignment horizontal="center" vertical="center" wrapText="1" readingOrder="1"/>
    </xf>
    <xf numFmtId="0" fontId="7" fillId="2" borderId="51" xfId="0" applyFont="1" applyFill="1" applyBorder="1" applyAlignment="1">
      <alignment horizontal="center" vertical="center" wrapText="1" readingOrder="1"/>
    </xf>
    <xf numFmtId="0" fontId="7" fillId="2" borderId="55" xfId="0" applyFont="1" applyFill="1" applyBorder="1" applyAlignment="1">
      <alignment horizontal="center" vertical="center" wrapText="1" readingOrder="1"/>
    </xf>
    <xf numFmtId="0" fontId="7" fillId="2" borderId="21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13" fillId="6" borderId="28" xfId="0" applyFont="1" applyFill="1" applyBorder="1" applyAlignment="1" applyProtection="1">
      <alignment horizontal="left" vertical="center" wrapText="1" readingOrder="1"/>
      <protection hidden="1"/>
    </xf>
    <xf numFmtId="0" fontId="13" fillId="6" borderId="29" xfId="0" applyFont="1" applyFill="1" applyBorder="1" applyAlignment="1" applyProtection="1">
      <alignment horizontal="left" vertical="center" wrapText="1" readingOrder="1"/>
      <protection hidden="1"/>
    </xf>
    <xf numFmtId="0" fontId="13" fillId="6" borderId="46" xfId="0" applyFont="1" applyFill="1" applyBorder="1" applyAlignment="1" applyProtection="1">
      <alignment horizontal="left" vertical="center" wrapText="1" readingOrder="1"/>
      <protection hidden="1"/>
    </xf>
    <xf numFmtId="0" fontId="7" fillId="7" borderId="56" xfId="0" applyFont="1" applyFill="1" applyBorder="1" applyAlignment="1">
      <alignment horizontal="center" vertical="center" wrapText="1" readingOrder="1"/>
    </xf>
    <xf numFmtId="0" fontId="7" fillId="7" borderId="57" xfId="0" applyFont="1" applyFill="1" applyBorder="1" applyAlignment="1">
      <alignment horizontal="center" vertical="center" wrapText="1" readingOrder="1"/>
    </xf>
    <xf numFmtId="0" fontId="7" fillId="7" borderId="58" xfId="0" applyFont="1" applyFill="1" applyBorder="1" applyAlignment="1">
      <alignment horizontal="center" vertical="center" wrapText="1" readingOrder="1"/>
    </xf>
    <xf numFmtId="0" fontId="7" fillId="7" borderId="56" xfId="0" applyFont="1" applyFill="1" applyBorder="1" applyAlignment="1">
      <alignment horizontal="center"/>
    </xf>
    <xf numFmtId="0" fontId="7" fillId="7" borderId="57" xfId="0" applyFont="1" applyFill="1" applyBorder="1" applyAlignment="1">
      <alignment horizontal="center"/>
    </xf>
    <xf numFmtId="0" fontId="7" fillId="7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 vertical="top"/>
    </xf>
    <xf numFmtId="0" fontId="7" fillId="2" borderId="57" xfId="0" applyFont="1" applyFill="1" applyBorder="1" applyAlignment="1">
      <alignment horizontal="center" vertical="top"/>
    </xf>
    <xf numFmtId="0" fontId="7" fillId="2" borderId="59" xfId="0" applyFont="1" applyFill="1" applyBorder="1" applyAlignment="1">
      <alignment horizontal="center" vertical="top"/>
    </xf>
    <xf numFmtId="0" fontId="7" fillId="2" borderId="60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0" fillId="11" borderId="0" xfId="0" applyFill="1"/>
    <xf numFmtId="0" fontId="19" fillId="11" borderId="0" xfId="0" applyFont="1" applyFill="1" applyAlignment="1">
      <alignment horizontal="center"/>
    </xf>
    <xf numFmtId="0" fontId="19" fillId="11" borderId="0" xfId="0" applyFont="1" applyFill="1"/>
    <xf numFmtId="0" fontId="26" fillId="11" borderId="0" xfId="1" applyFont="1" applyFill="1" applyAlignment="1">
      <alignment horizontal="center"/>
    </xf>
    <xf numFmtId="22" fontId="27" fillId="11" borderId="0" xfId="0" applyNumberFormat="1" applyFont="1" applyFill="1" applyAlignment="1">
      <alignment horizontal="center"/>
    </xf>
    <xf numFmtId="0" fontId="27" fillId="11" borderId="0" xfId="0" applyFont="1" applyFill="1" applyAlignment="1">
      <alignment horizontal="center"/>
    </xf>
    <xf numFmtId="0" fontId="11" fillId="11" borderId="0" xfId="0" applyFont="1" applyFill="1"/>
    <xf numFmtId="0" fontId="11" fillId="11" borderId="0" xfId="0" applyFont="1" applyFill="1" applyBorder="1"/>
    <xf numFmtId="0" fontId="18" fillId="11" borderId="0" xfId="0" applyFont="1" applyFill="1"/>
    <xf numFmtId="0" fontId="18" fillId="11" borderId="0" xfId="0" applyFont="1" applyFill="1" applyBorder="1"/>
    <xf numFmtId="0" fontId="7" fillId="11" borderId="0" xfId="0" applyFont="1" applyFill="1"/>
    <xf numFmtId="0" fontId="13" fillId="11" borderId="22" xfId="0" applyFont="1" applyFill="1" applyBorder="1" applyAlignment="1">
      <alignment vertical="center" readingOrder="1"/>
    </xf>
    <xf numFmtId="0" fontId="7" fillId="11" borderId="22" xfId="0" applyFont="1" applyFill="1" applyBorder="1" applyAlignment="1">
      <alignment horizontal="right" wrapText="1"/>
    </xf>
    <xf numFmtId="3" fontId="9" fillId="11" borderId="0" xfId="0" applyNumberFormat="1" applyFont="1" applyFill="1" applyBorder="1" applyAlignment="1">
      <alignment horizontal="right" vertical="center" wrapText="1" readingOrder="1"/>
    </xf>
    <xf numFmtId="164" fontId="11" fillId="11" borderId="0" xfId="0" applyNumberFormat="1" applyFont="1" applyFill="1" applyBorder="1"/>
    <xf numFmtId="3" fontId="13" fillId="11" borderId="0" xfId="0" applyNumberFormat="1" applyFont="1" applyFill="1" applyBorder="1" applyAlignment="1">
      <alignment horizontal="right" vertical="center" wrapText="1" readingOrder="1"/>
    </xf>
    <xf numFmtId="164" fontId="18" fillId="11" borderId="0" xfId="0" applyNumberFormat="1" applyFont="1" applyFill="1" applyBorder="1"/>
    <xf numFmtId="3" fontId="18" fillId="11" borderId="0" xfId="0" applyNumberFormat="1" applyFont="1" applyFill="1" applyBorder="1"/>
    <xf numFmtId="164" fontId="10" fillId="11" borderId="0" xfId="0" applyNumberFormat="1" applyFont="1" applyFill="1" applyBorder="1" applyAlignment="1">
      <alignment horizontal="right" vertical="center" wrapText="1" readingOrder="1"/>
    </xf>
    <xf numFmtId="1" fontId="11" fillId="11" borderId="0" xfId="0" applyNumberFormat="1" applyFont="1" applyFill="1" applyBorder="1"/>
    <xf numFmtId="168" fontId="9" fillId="11" borderId="0" xfId="0" applyNumberFormat="1" applyFont="1" applyFill="1" applyBorder="1" applyAlignment="1">
      <alignment horizontal="right" vertical="center" wrapText="1" readingOrder="1"/>
    </xf>
    <xf numFmtId="3" fontId="9" fillId="11" borderId="0" xfId="0" applyNumberFormat="1" applyFont="1" applyFill="1" applyAlignment="1">
      <alignment horizontal="right" vertical="center" wrapText="1" readingOrder="1"/>
    </xf>
    <xf numFmtId="9" fontId="11" fillId="11" borderId="0" xfId="0" applyNumberFormat="1" applyFont="1" applyFill="1" applyAlignment="1">
      <alignment horizontal="right" vertical="center" wrapText="1" readingOrder="1"/>
    </xf>
    <xf numFmtId="0" fontId="9" fillId="11" borderId="0" xfId="0" applyFont="1" applyFill="1" applyAlignment="1">
      <alignment horizontal="left" vertical="center" wrapText="1" readingOrder="1"/>
    </xf>
    <xf numFmtId="0" fontId="9" fillId="11" borderId="0" xfId="0" applyFont="1" applyFill="1" applyAlignment="1">
      <alignment vertical="center" wrapText="1" readingOrder="1"/>
    </xf>
    <xf numFmtId="0" fontId="9" fillId="11" borderId="0" xfId="0" applyFont="1" applyFill="1" applyAlignment="1">
      <alignment horizontal="right" vertical="center" wrapText="1" readingOrder="1"/>
    </xf>
    <xf numFmtId="0" fontId="11" fillId="11" borderId="0" xfId="0" applyFont="1" applyFill="1" applyAlignment="1">
      <alignment vertical="center" wrapText="1" readingOrder="1"/>
    </xf>
    <xf numFmtId="0" fontId="11" fillId="11" borderId="0" xfId="0" applyFont="1" applyFill="1" applyAlignment="1">
      <alignment horizontal="right" vertical="center" wrapText="1" readingOrder="1"/>
    </xf>
    <xf numFmtId="0" fontId="13" fillId="11" borderId="0" xfId="0" applyFont="1" applyFill="1" applyAlignment="1">
      <alignment vertical="center" wrapText="1" readingOrder="1"/>
    </xf>
    <xf numFmtId="0" fontId="13" fillId="11" borderId="0" xfId="0" applyFont="1" applyFill="1" applyAlignment="1">
      <alignment horizontal="right" vertical="center" wrapText="1" readingOrder="1"/>
    </xf>
    <xf numFmtId="0" fontId="9" fillId="11" borderId="0" xfId="0" applyFont="1" applyFill="1" applyAlignment="1">
      <alignment horizontal="left" vertical="center" wrapText="1" readingOrder="1"/>
    </xf>
    <xf numFmtId="0" fontId="20" fillId="11" borderId="0" xfId="0" applyFont="1" applyFill="1" applyAlignment="1">
      <alignment horizontal="left" vertical="top" readingOrder="1"/>
    </xf>
    <xf numFmtId="0" fontId="9" fillId="11" borderId="0" xfId="0" applyFont="1" applyFill="1" applyBorder="1" applyAlignment="1">
      <alignment horizontal="left" vertical="center" wrapText="1" readingOrder="1"/>
    </xf>
    <xf numFmtId="0" fontId="10" fillId="11" borderId="0" xfId="0" applyFont="1" applyFill="1" applyBorder="1" applyAlignment="1">
      <alignment horizontal="left" vertical="center" wrapText="1" indent="3" readingOrder="1"/>
    </xf>
    <xf numFmtId="9" fontId="10" fillId="11" borderId="0" xfId="0" applyNumberFormat="1" applyFont="1" applyFill="1" applyAlignment="1">
      <alignment horizontal="right" vertical="center" wrapText="1" readingOrder="1"/>
    </xf>
    <xf numFmtId="3" fontId="9" fillId="11" borderId="0" xfId="0" applyNumberFormat="1" applyFont="1" applyFill="1" applyAlignment="1">
      <alignment horizontal="left" vertical="center" readingOrder="1"/>
    </xf>
    <xf numFmtId="0" fontId="8" fillId="11" borderId="7" xfId="0" applyFont="1" applyFill="1" applyBorder="1" applyAlignment="1" applyProtection="1">
      <alignment horizontal="right" vertical="center" wrapText="1" readingOrder="1"/>
      <protection locked="0"/>
    </xf>
    <xf numFmtId="0" fontId="7" fillId="11" borderId="9" xfId="0" applyFont="1" applyFill="1" applyBorder="1" applyAlignment="1">
      <alignment horizontal="right"/>
    </xf>
    <xf numFmtId="0" fontId="7" fillId="11" borderId="7" xfId="0" applyFont="1" applyFill="1" applyBorder="1" applyAlignment="1">
      <alignment horizontal="right"/>
    </xf>
    <xf numFmtId="0" fontId="7" fillId="11" borderId="19" xfId="0" applyFont="1" applyFill="1" applyBorder="1" applyAlignment="1">
      <alignment horizontal="right"/>
    </xf>
    <xf numFmtId="170" fontId="0" fillId="11" borderId="0" xfId="0" applyNumberFormat="1" applyFill="1"/>
    <xf numFmtId="164" fontId="5" fillId="11" borderId="0" xfId="2" applyNumberFormat="1" applyFont="1" applyFill="1"/>
    <xf numFmtId="0" fontId="13" fillId="11" borderId="0" xfId="0" applyFont="1" applyFill="1" applyBorder="1" applyAlignment="1">
      <alignment horizontal="left" vertical="center" wrapText="1" readingOrder="1"/>
    </xf>
    <xf numFmtId="170" fontId="13" fillId="11" borderId="0" xfId="0" applyNumberFormat="1" applyFont="1" applyFill="1" applyBorder="1" applyAlignment="1">
      <alignment horizontal="right" vertical="center" wrapText="1" readingOrder="1"/>
    </xf>
    <xf numFmtId="170" fontId="13" fillId="11" borderId="12" xfId="0" applyNumberFormat="1" applyFont="1" applyFill="1" applyBorder="1" applyAlignment="1">
      <alignment horizontal="right" vertical="center" wrapText="1" readingOrder="1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0"/>
  <tableStyles count="1" defaultTableStyle="TableStyleMedium2" defaultPivotStyle="PivotStyleLight16">
    <tableStyle name="Invisible" pivot="0" table="0" count="0"/>
  </tableStyles>
  <colors>
    <mruColors>
      <color rgb="FF0A172C"/>
      <color rgb="FFFFFF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</a:t>
            </a:r>
            <a:r>
              <a:rPr lang="pt-BR" baseline="0"/>
              <a:t> do Faturamento</a:t>
            </a:r>
            <a:endParaRPr lang="pt-B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Gráficos!$A$3</c:f>
              <c:strCache>
                <c:ptCount val="1"/>
                <c:pt idx="0">
                  <c:v>Faturamento</c:v>
                </c:pt>
              </c:strCache>
            </c:strRef>
          </c:cat>
          <c:val>
            <c:numRef>
              <c:f>Gráficos!$B$3</c:f>
              <c:numCache>
                <c:formatCode>"R$"\ #,##0</c:formatCode>
                <c:ptCount val="1"/>
                <c:pt idx="0">
                  <c:v>2867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1-4C3F-BA8D-66B8253EB761}"/>
            </c:ext>
          </c:extLst>
        </c:ser>
        <c:ser>
          <c:idx val="1"/>
          <c:order val="1"/>
          <c:tx>
            <c:strRef>
              <c:f>Gráficos!$C$2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Gráficos!$A$3</c:f>
              <c:strCache>
                <c:ptCount val="1"/>
                <c:pt idx="0">
                  <c:v>Faturamento</c:v>
                </c:pt>
              </c:strCache>
            </c:strRef>
          </c:cat>
          <c:val>
            <c:numRef>
              <c:f>Gráficos!$C$3</c:f>
              <c:numCache>
                <c:formatCode>"R$"\ #,##0</c:formatCode>
                <c:ptCount val="1"/>
                <c:pt idx="0">
                  <c:v>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31-4C3F-BA8D-66B8253EB761}"/>
            </c:ext>
          </c:extLst>
        </c:ser>
        <c:ser>
          <c:idx val="2"/>
          <c:order val="2"/>
          <c:tx>
            <c:strRef>
              <c:f>Gráficos!$D$2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Gráficos!$A$3</c:f>
              <c:strCache>
                <c:ptCount val="1"/>
                <c:pt idx="0">
                  <c:v>Faturamento</c:v>
                </c:pt>
              </c:strCache>
            </c:strRef>
          </c:cat>
          <c:val>
            <c:numRef>
              <c:f>Gráficos!$D$3</c:f>
              <c:numCache>
                <c:formatCode>"R$"\ #,##0</c:formatCode>
                <c:ptCount val="1"/>
                <c:pt idx="0">
                  <c:v>4055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31-4C3F-BA8D-66B8253EB761}"/>
            </c:ext>
          </c:extLst>
        </c:ser>
        <c:ser>
          <c:idx val="3"/>
          <c:order val="3"/>
          <c:tx>
            <c:strRef>
              <c:f>Gráficos!$E$2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Gráficos!$A$3</c:f>
              <c:strCache>
                <c:ptCount val="1"/>
                <c:pt idx="0">
                  <c:v>Faturamento</c:v>
                </c:pt>
              </c:strCache>
            </c:strRef>
          </c:cat>
          <c:val>
            <c:numRef>
              <c:f>Gráficos!$E$3</c:f>
              <c:numCache>
                <c:formatCode>"R$"\ #,##0</c:formatCode>
                <c:ptCount val="1"/>
                <c:pt idx="0">
                  <c:v>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31-4C3F-BA8D-66B8253EB761}"/>
            </c:ext>
          </c:extLst>
        </c:ser>
        <c:ser>
          <c:idx val="4"/>
          <c:order val="4"/>
          <c:tx>
            <c:strRef>
              <c:f>Gráficos!$F$2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Gráficos!$A$3</c:f>
              <c:strCache>
                <c:ptCount val="1"/>
                <c:pt idx="0">
                  <c:v>Faturamento</c:v>
                </c:pt>
              </c:strCache>
            </c:strRef>
          </c:cat>
          <c:val>
            <c:numRef>
              <c:f>Gráficos!$F$3</c:f>
              <c:numCache>
                <c:formatCode>"R$"\ #,##0</c:formatCode>
                <c:ptCount val="1"/>
                <c:pt idx="0">
                  <c:v>5255.9800000000005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31-4C3F-BA8D-66B8253EB761}"/>
            </c:ext>
          </c:extLst>
        </c:ser>
        <c:ser>
          <c:idx val="5"/>
          <c:order val="5"/>
          <c:tx>
            <c:strRef>
              <c:f>Gráficos!$G$2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Gráficos!$A$3</c:f>
              <c:strCache>
                <c:ptCount val="1"/>
                <c:pt idx="0">
                  <c:v>Faturamento</c:v>
                </c:pt>
              </c:strCache>
            </c:strRef>
          </c:cat>
          <c:val>
            <c:numRef>
              <c:f>Gráficos!$G$3</c:f>
              <c:numCache>
                <c:formatCode>"R$"\ #,##0</c:formatCode>
                <c:ptCount val="1"/>
                <c:pt idx="0">
                  <c:v>5729.0182000000013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31-4C3F-BA8D-66B8253EB761}"/>
            </c:ext>
          </c:extLst>
        </c:ser>
        <c:ser>
          <c:idx val="6"/>
          <c:order val="6"/>
          <c:tx>
            <c:strRef>
              <c:f>Gráficos!$H$2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Gráficos!$A$3</c:f>
              <c:strCache>
                <c:ptCount val="1"/>
                <c:pt idx="0">
                  <c:v>Faturamento</c:v>
                </c:pt>
              </c:strCache>
            </c:strRef>
          </c:cat>
          <c:val>
            <c:numRef>
              <c:f>Gráficos!$H$3</c:f>
              <c:numCache>
                <c:formatCode>"R$"\ #,##0</c:formatCode>
                <c:ptCount val="1"/>
                <c:pt idx="0">
                  <c:v>6244.6298380000017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31-4C3F-BA8D-66B8253EB761}"/>
            </c:ext>
          </c:extLst>
        </c:ser>
        <c:ser>
          <c:idx val="7"/>
          <c:order val="7"/>
          <c:tx>
            <c:strRef>
              <c:f>Gráficos!$I$2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Gráficos!$A$3</c:f>
              <c:strCache>
                <c:ptCount val="1"/>
                <c:pt idx="0">
                  <c:v>Faturamento</c:v>
                </c:pt>
              </c:strCache>
            </c:strRef>
          </c:cat>
          <c:val>
            <c:numRef>
              <c:f>Gráficos!$I$3</c:f>
              <c:numCache>
                <c:formatCode>"R$"\ #,##0</c:formatCode>
                <c:ptCount val="1"/>
                <c:pt idx="0">
                  <c:v>6806.6465234200023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31-4C3F-BA8D-66B8253EB761}"/>
            </c:ext>
          </c:extLst>
        </c:ser>
        <c:ser>
          <c:idx val="8"/>
          <c:order val="8"/>
          <c:tx>
            <c:strRef>
              <c:f>Gráficos!$J$2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Gráficos!$A$3</c:f>
              <c:strCache>
                <c:ptCount val="1"/>
                <c:pt idx="0">
                  <c:v>Faturamento</c:v>
                </c:pt>
              </c:strCache>
            </c:strRef>
          </c:cat>
          <c:val>
            <c:numRef>
              <c:f>Gráficos!$J$3</c:f>
              <c:numCache>
                <c:formatCode>"R$"\ #,##0</c:formatCode>
                <c:ptCount val="1"/>
                <c:pt idx="0">
                  <c:v>7419.2447105278034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31-4C3F-BA8D-66B8253EB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3296063"/>
        <c:axId val="1"/>
      </c:barChart>
      <c:catAx>
        <c:axId val="51329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329606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</a:t>
            </a:r>
            <a:r>
              <a:rPr lang="pt-BR" baseline="0"/>
              <a:t> do Ebitda</a:t>
            </a:r>
            <a:endParaRPr lang="pt-B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Gráficos!$A$4</c:f>
              <c:strCache>
                <c:ptCount val="1"/>
                <c:pt idx="0">
                  <c:v>EBITDA</c:v>
                </c:pt>
              </c:strCache>
            </c:strRef>
          </c:cat>
          <c:val>
            <c:numRef>
              <c:f>Gráficos!$B$4</c:f>
              <c:numCache>
                <c:formatCode>"R$"\ #,##0</c:formatCode>
                <c:ptCount val="1"/>
                <c:pt idx="0">
                  <c:v>398.10000000000014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3-4A4C-939C-F78861F6008E}"/>
            </c:ext>
          </c:extLst>
        </c:ser>
        <c:ser>
          <c:idx val="1"/>
          <c:order val="1"/>
          <c:tx>
            <c:strRef>
              <c:f>Gráficos!$C$2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Gráficos!$A$4</c:f>
              <c:strCache>
                <c:ptCount val="1"/>
                <c:pt idx="0">
                  <c:v>EBITDA</c:v>
                </c:pt>
              </c:strCache>
            </c:strRef>
          </c:cat>
          <c:val>
            <c:numRef>
              <c:f>Gráficos!$C$4</c:f>
              <c:numCache>
                <c:formatCode>"R$"\ #,##0</c:formatCode>
                <c:ptCount val="1"/>
                <c:pt idx="0">
                  <c:v>279.79999999999995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13-4A4C-939C-F78861F6008E}"/>
            </c:ext>
          </c:extLst>
        </c:ser>
        <c:ser>
          <c:idx val="2"/>
          <c:order val="2"/>
          <c:tx>
            <c:strRef>
              <c:f>Gráficos!$D$2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Gráficos!$A$4</c:f>
              <c:strCache>
                <c:ptCount val="1"/>
                <c:pt idx="0">
                  <c:v>EBITDA</c:v>
                </c:pt>
              </c:strCache>
            </c:strRef>
          </c:cat>
          <c:val>
            <c:numRef>
              <c:f>Gráficos!$D$4</c:f>
              <c:numCache>
                <c:formatCode>"R$"\ #,##0</c:formatCode>
                <c:ptCount val="1"/>
                <c:pt idx="0">
                  <c:v>566.50000000000045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13-4A4C-939C-F78861F6008E}"/>
            </c:ext>
          </c:extLst>
        </c:ser>
        <c:ser>
          <c:idx val="3"/>
          <c:order val="3"/>
          <c:tx>
            <c:strRef>
              <c:f>Gráficos!$E$2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Gráficos!$A$4</c:f>
              <c:strCache>
                <c:ptCount val="1"/>
                <c:pt idx="0">
                  <c:v>EBITDA</c:v>
                </c:pt>
              </c:strCache>
            </c:strRef>
          </c:cat>
          <c:val>
            <c:numRef>
              <c:f>Gráficos!$E$4</c:f>
              <c:numCache>
                <c:formatCode>"R$"\ #,##0</c:formatCode>
                <c:ptCount val="1"/>
                <c:pt idx="0">
                  <c:v>658.60000000000036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13-4A4C-939C-F78861F6008E}"/>
            </c:ext>
          </c:extLst>
        </c:ser>
        <c:ser>
          <c:idx val="4"/>
          <c:order val="4"/>
          <c:tx>
            <c:strRef>
              <c:f>Gráficos!$F$2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Gráficos!$A$4</c:f>
              <c:strCache>
                <c:ptCount val="1"/>
                <c:pt idx="0">
                  <c:v>EBITDA</c:v>
                </c:pt>
              </c:strCache>
            </c:strRef>
          </c:cat>
          <c:val>
            <c:numRef>
              <c:f>Gráficos!$F$4</c:f>
              <c:numCache>
                <c:formatCode>"R$"\ #,##0</c:formatCode>
                <c:ptCount val="1"/>
                <c:pt idx="0">
                  <c:v>893.51660000000027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13-4A4C-939C-F78861F6008E}"/>
            </c:ext>
          </c:extLst>
        </c:ser>
        <c:ser>
          <c:idx val="5"/>
          <c:order val="5"/>
          <c:tx>
            <c:strRef>
              <c:f>Gráficos!$G$2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Gráficos!$A$4</c:f>
              <c:strCache>
                <c:ptCount val="1"/>
                <c:pt idx="0">
                  <c:v>EBITDA</c:v>
                </c:pt>
              </c:strCache>
            </c:strRef>
          </c:cat>
          <c:val>
            <c:numRef>
              <c:f>Gráficos!$G$4</c:f>
              <c:numCache>
                <c:formatCode>"R$"\ #,##0</c:formatCode>
                <c:ptCount val="1"/>
                <c:pt idx="0">
                  <c:v>973.93309400000066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13-4A4C-939C-F78861F6008E}"/>
            </c:ext>
          </c:extLst>
        </c:ser>
        <c:ser>
          <c:idx val="6"/>
          <c:order val="6"/>
          <c:tx>
            <c:strRef>
              <c:f>Gráficos!$H$2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Gráficos!$A$4</c:f>
              <c:strCache>
                <c:ptCount val="1"/>
                <c:pt idx="0">
                  <c:v>EBITDA</c:v>
                </c:pt>
              </c:strCache>
            </c:strRef>
          </c:cat>
          <c:val>
            <c:numRef>
              <c:f>Gráficos!$H$4</c:f>
              <c:numCache>
                <c:formatCode>"R$"\ #,##0</c:formatCode>
                <c:ptCount val="1"/>
                <c:pt idx="0">
                  <c:v>1061.5870724600006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13-4A4C-939C-F78861F6008E}"/>
            </c:ext>
          </c:extLst>
        </c:ser>
        <c:ser>
          <c:idx val="7"/>
          <c:order val="7"/>
          <c:tx>
            <c:strRef>
              <c:f>Gráficos!$I$2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Gráficos!$A$4</c:f>
              <c:strCache>
                <c:ptCount val="1"/>
                <c:pt idx="0">
                  <c:v>EBITDA</c:v>
                </c:pt>
              </c:strCache>
            </c:strRef>
          </c:cat>
          <c:val>
            <c:numRef>
              <c:f>Gráficos!$I$4</c:f>
              <c:numCache>
                <c:formatCode>"R$"\ #,##0</c:formatCode>
                <c:ptCount val="1"/>
                <c:pt idx="0">
                  <c:v>1157.1299089814006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13-4A4C-939C-F78861F6008E}"/>
            </c:ext>
          </c:extLst>
        </c:ser>
        <c:ser>
          <c:idx val="8"/>
          <c:order val="8"/>
          <c:tx>
            <c:strRef>
              <c:f>Gráficos!$J$2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Gráficos!$A$4</c:f>
              <c:strCache>
                <c:ptCount val="1"/>
                <c:pt idx="0">
                  <c:v>EBITDA</c:v>
                </c:pt>
              </c:strCache>
            </c:strRef>
          </c:cat>
          <c:val>
            <c:numRef>
              <c:f>Gráficos!$J$4</c:f>
              <c:numCache>
                <c:formatCode>"R$"\ #,##0</c:formatCode>
                <c:ptCount val="1"/>
                <c:pt idx="0">
                  <c:v>1261.2716007897275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13-4A4C-939C-F78861F60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7953343"/>
        <c:axId val="1"/>
      </c:barChart>
      <c:catAx>
        <c:axId val="99795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795334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</a:t>
            </a:r>
            <a:r>
              <a:rPr lang="pt-BR" baseline="0"/>
              <a:t> do Ebitda %</a:t>
            </a:r>
            <a:endParaRPr lang="pt-B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Gráficos!$A$5</c:f>
              <c:strCache>
                <c:ptCount val="1"/>
                <c:pt idx="0">
                  <c:v>% EBITDA</c:v>
                </c:pt>
              </c:strCache>
            </c:strRef>
          </c:cat>
          <c:val>
            <c:numRef>
              <c:f>Gráficos!$B$5</c:f>
              <c:numCache>
                <c:formatCode>0.0%</c:formatCode>
                <c:ptCount val="1"/>
                <c:pt idx="0">
                  <c:v>0.13885594698290901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7-446B-8016-1F2AD14F2981}"/>
            </c:ext>
          </c:extLst>
        </c:ser>
        <c:ser>
          <c:idx val="1"/>
          <c:order val="1"/>
          <c:tx>
            <c:strRef>
              <c:f>Gráficos!$C$2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Gráficos!$A$5</c:f>
              <c:strCache>
                <c:ptCount val="1"/>
                <c:pt idx="0">
                  <c:v>% EBITDA</c:v>
                </c:pt>
              </c:strCache>
            </c:strRef>
          </c:cat>
          <c:val>
            <c:numRef>
              <c:f>Gráficos!$C$5</c:f>
              <c:numCache>
                <c:formatCode>0.0%</c:formatCode>
                <c:ptCount val="1"/>
                <c:pt idx="0">
                  <c:v>0.10115690527838031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47-446B-8016-1F2AD14F2981}"/>
            </c:ext>
          </c:extLst>
        </c:ser>
        <c:ser>
          <c:idx val="2"/>
          <c:order val="2"/>
          <c:tx>
            <c:strRef>
              <c:f>Gráficos!$D$2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Gráficos!$A$5</c:f>
              <c:strCache>
                <c:ptCount val="1"/>
                <c:pt idx="0">
                  <c:v>% EBITDA</c:v>
                </c:pt>
              </c:strCache>
            </c:strRef>
          </c:cat>
          <c:val>
            <c:numRef>
              <c:f>Gráficos!$D$5</c:f>
              <c:numCache>
                <c:formatCode>0.0%</c:formatCode>
                <c:ptCount val="1"/>
                <c:pt idx="0">
                  <c:v>0.13970406905055499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47-446B-8016-1F2AD14F2981}"/>
            </c:ext>
          </c:extLst>
        </c:ser>
        <c:ser>
          <c:idx val="3"/>
          <c:order val="3"/>
          <c:tx>
            <c:strRef>
              <c:f>Gráficos!$E$2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Gráficos!$A$5</c:f>
              <c:strCache>
                <c:ptCount val="1"/>
                <c:pt idx="0">
                  <c:v>% EBITDA</c:v>
                </c:pt>
              </c:strCache>
            </c:strRef>
          </c:cat>
          <c:val>
            <c:numRef>
              <c:f>Gráficos!$E$5</c:f>
              <c:numCache>
                <c:formatCode>0.0%</c:formatCode>
                <c:ptCount val="1"/>
                <c:pt idx="0">
                  <c:v>0.13658233098299469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47-446B-8016-1F2AD14F2981}"/>
            </c:ext>
          </c:extLst>
        </c:ser>
        <c:ser>
          <c:idx val="4"/>
          <c:order val="4"/>
          <c:tx>
            <c:strRef>
              <c:f>Gráficos!$F$2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Gráficos!$A$5</c:f>
              <c:strCache>
                <c:ptCount val="1"/>
                <c:pt idx="0">
                  <c:v>% EBITDA</c:v>
                </c:pt>
              </c:strCache>
            </c:strRef>
          </c:cat>
          <c:val>
            <c:numRef>
              <c:f>Gráficos!$F$5</c:f>
              <c:numCache>
                <c:formatCode>0.0%</c:formatCode>
                <c:ptCount val="1"/>
                <c:pt idx="0">
                  <c:v>0.17000000000000004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47-446B-8016-1F2AD14F2981}"/>
            </c:ext>
          </c:extLst>
        </c:ser>
        <c:ser>
          <c:idx val="5"/>
          <c:order val="5"/>
          <c:tx>
            <c:strRef>
              <c:f>Gráficos!$G$2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Gráficos!$A$5</c:f>
              <c:strCache>
                <c:ptCount val="1"/>
                <c:pt idx="0">
                  <c:v>% EBITDA</c:v>
                </c:pt>
              </c:strCache>
            </c:strRef>
          </c:cat>
          <c:val>
            <c:numRef>
              <c:f>Gráficos!$G$5</c:f>
              <c:numCache>
                <c:formatCode>0.0%</c:formatCode>
                <c:ptCount val="1"/>
                <c:pt idx="0">
                  <c:v>0.17000000000000007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7-446B-8016-1F2AD14F2981}"/>
            </c:ext>
          </c:extLst>
        </c:ser>
        <c:ser>
          <c:idx val="6"/>
          <c:order val="6"/>
          <c:tx>
            <c:strRef>
              <c:f>Gráficos!$H$2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Gráficos!$A$5</c:f>
              <c:strCache>
                <c:ptCount val="1"/>
                <c:pt idx="0">
                  <c:v>% EBITDA</c:v>
                </c:pt>
              </c:strCache>
            </c:strRef>
          </c:cat>
          <c:val>
            <c:numRef>
              <c:f>Gráficos!$H$5</c:f>
              <c:numCache>
                <c:formatCode>0.0%</c:formatCode>
                <c:ptCount val="1"/>
                <c:pt idx="0">
                  <c:v>0.17000000000000007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47-446B-8016-1F2AD14F2981}"/>
            </c:ext>
          </c:extLst>
        </c:ser>
        <c:ser>
          <c:idx val="7"/>
          <c:order val="7"/>
          <c:tx>
            <c:strRef>
              <c:f>Gráficos!$I$2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Gráficos!$A$5</c:f>
              <c:strCache>
                <c:ptCount val="1"/>
                <c:pt idx="0">
                  <c:v>% EBITDA</c:v>
                </c:pt>
              </c:strCache>
            </c:strRef>
          </c:cat>
          <c:val>
            <c:numRef>
              <c:f>Gráficos!$I$5</c:f>
              <c:numCache>
                <c:formatCode>0.0%</c:formatCode>
                <c:ptCount val="1"/>
                <c:pt idx="0">
                  <c:v>0.17000000000000004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7-446B-8016-1F2AD14F2981}"/>
            </c:ext>
          </c:extLst>
        </c:ser>
        <c:ser>
          <c:idx val="8"/>
          <c:order val="8"/>
          <c:tx>
            <c:strRef>
              <c:f>Gráficos!$J$2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Gráficos!$A$5</c:f>
              <c:strCache>
                <c:ptCount val="1"/>
                <c:pt idx="0">
                  <c:v>% EBITDA</c:v>
                </c:pt>
              </c:strCache>
            </c:strRef>
          </c:cat>
          <c:val>
            <c:numRef>
              <c:f>Gráficos!$J$5</c:f>
              <c:numCache>
                <c:formatCode>0.0%</c:formatCode>
                <c:ptCount val="1"/>
                <c:pt idx="0">
                  <c:v>0.17000000000000012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47-446B-8016-1F2AD14F2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7952511"/>
        <c:axId val="1"/>
      </c:barChart>
      <c:catAx>
        <c:axId val="997952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795251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NCG Necessidade de Capital de Giro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Gráficos!$A$6</c:f>
              <c:strCache>
                <c:ptCount val="1"/>
                <c:pt idx="0">
                  <c:v>Necessidade de Capital de Giro</c:v>
                </c:pt>
              </c:strCache>
            </c:strRef>
          </c:cat>
          <c:val>
            <c:numRef>
              <c:f>Gráficos!$B$6</c:f>
              <c:numCache>
                <c:formatCode>"R$"\ #,##0</c:formatCode>
                <c:ptCount val="1"/>
                <c:pt idx="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D-41B3-9235-426D7BDC434A}"/>
            </c:ext>
          </c:extLst>
        </c:ser>
        <c:ser>
          <c:idx val="1"/>
          <c:order val="1"/>
          <c:tx>
            <c:strRef>
              <c:f>Gráficos!$C$2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Gráficos!$A$6</c:f>
              <c:strCache>
                <c:ptCount val="1"/>
                <c:pt idx="0">
                  <c:v>Necessidade de Capital de Giro</c:v>
                </c:pt>
              </c:strCache>
            </c:strRef>
          </c:cat>
          <c:val>
            <c:numRef>
              <c:f>Gráficos!$C$6</c:f>
              <c:numCache>
                <c:formatCode>"R$"\ #,##0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0D-41B3-9235-426D7BDC434A}"/>
            </c:ext>
          </c:extLst>
        </c:ser>
        <c:ser>
          <c:idx val="2"/>
          <c:order val="2"/>
          <c:tx>
            <c:strRef>
              <c:f>Gráficos!$D$2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Gráficos!$A$6</c:f>
              <c:strCache>
                <c:ptCount val="1"/>
                <c:pt idx="0">
                  <c:v>Necessidade de Capital de Giro</c:v>
                </c:pt>
              </c:strCache>
            </c:strRef>
          </c:cat>
          <c:val>
            <c:numRef>
              <c:f>Gráficos!$D$6</c:f>
              <c:numCache>
                <c:formatCode>"R$"\ #,##0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0D-41B3-9235-426D7BDC434A}"/>
            </c:ext>
          </c:extLst>
        </c:ser>
        <c:ser>
          <c:idx val="3"/>
          <c:order val="3"/>
          <c:tx>
            <c:strRef>
              <c:f>Gráficos!$E$2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Gráficos!$A$6</c:f>
              <c:strCache>
                <c:ptCount val="1"/>
                <c:pt idx="0">
                  <c:v>Necessidade de Capital de Giro</c:v>
                </c:pt>
              </c:strCache>
            </c:strRef>
          </c:cat>
          <c:val>
            <c:numRef>
              <c:f>Gráficos!$E$6</c:f>
              <c:numCache>
                <c:formatCode>"R$"\ #,##0</c:formatCode>
                <c:ptCount val="1"/>
                <c:pt idx="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0D-41B3-9235-426D7BDC434A}"/>
            </c:ext>
          </c:extLst>
        </c:ser>
        <c:ser>
          <c:idx val="4"/>
          <c:order val="4"/>
          <c:tx>
            <c:strRef>
              <c:f>Gráficos!$F$2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Gráficos!$A$6</c:f>
              <c:strCache>
                <c:ptCount val="1"/>
                <c:pt idx="0">
                  <c:v>Necessidade de Capital de Giro</c:v>
                </c:pt>
              </c:strCache>
            </c:strRef>
          </c:cat>
          <c:val>
            <c:numRef>
              <c:f>Gráficos!$F$6</c:f>
              <c:numCache>
                <c:formatCode>"R$"\ #,##0</c:formatCode>
                <c:ptCount val="1"/>
                <c:pt idx="0">
                  <c:v>72.62058962698957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0D-41B3-9235-426D7BDC434A}"/>
            </c:ext>
          </c:extLst>
        </c:ser>
        <c:ser>
          <c:idx val="5"/>
          <c:order val="5"/>
          <c:tx>
            <c:strRef>
              <c:f>Gráficos!$G$2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Gráficos!$A$6</c:f>
              <c:strCache>
                <c:ptCount val="1"/>
                <c:pt idx="0">
                  <c:v>Necessidade de Capital de Giro</c:v>
                </c:pt>
              </c:strCache>
            </c:strRef>
          </c:cat>
          <c:val>
            <c:numRef>
              <c:f>Gráficos!$G$6</c:f>
              <c:numCache>
                <c:formatCode>"R$"\ #,##0</c:formatCode>
                <c:ptCount val="1"/>
                <c:pt idx="0">
                  <c:v>79.15644269341864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0D-41B3-9235-426D7BDC434A}"/>
            </c:ext>
          </c:extLst>
        </c:ser>
        <c:ser>
          <c:idx val="6"/>
          <c:order val="6"/>
          <c:tx>
            <c:strRef>
              <c:f>Gráficos!$H$2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Gráficos!$A$6</c:f>
              <c:strCache>
                <c:ptCount val="1"/>
                <c:pt idx="0">
                  <c:v>Necessidade de Capital de Giro</c:v>
                </c:pt>
              </c:strCache>
            </c:strRef>
          </c:cat>
          <c:val>
            <c:numRef>
              <c:f>Gráficos!$H$6</c:f>
              <c:numCache>
                <c:formatCode>"R$"\ #,##0</c:formatCode>
                <c:ptCount val="1"/>
                <c:pt idx="0">
                  <c:v>86.280522535826336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0D-41B3-9235-426D7BDC434A}"/>
            </c:ext>
          </c:extLst>
        </c:ser>
        <c:ser>
          <c:idx val="7"/>
          <c:order val="7"/>
          <c:tx>
            <c:strRef>
              <c:f>Gráficos!$I$2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Gráficos!$A$6</c:f>
              <c:strCache>
                <c:ptCount val="1"/>
                <c:pt idx="0">
                  <c:v>Necessidade de Capital de Giro</c:v>
                </c:pt>
              </c:strCache>
            </c:strRef>
          </c:cat>
          <c:val>
            <c:numRef>
              <c:f>Gráficos!$I$6</c:f>
              <c:numCache>
                <c:formatCode>"R$"\ #,##0</c:formatCode>
                <c:ptCount val="1"/>
                <c:pt idx="0">
                  <c:v>94.045769564050715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0D-41B3-9235-426D7BDC434A}"/>
            </c:ext>
          </c:extLst>
        </c:ser>
        <c:ser>
          <c:idx val="8"/>
          <c:order val="8"/>
          <c:tx>
            <c:strRef>
              <c:f>Gráficos!$J$2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Gráficos!$A$6</c:f>
              <c:strCache>
                <c:ptCount val="1"/>
                <c:pt idx="0">
                  <c:v>Necessidade de Capital de Giro</c:v>
                </c:pt>
              </c:strCache>
            </c:strRef>
          </c:cat>
          <c:val>
            <c:numRef>
              <c:f>Gráficos!$J$6</c:f>
              <c:numCache>
                <c:formatCode>"R$"\ #,##0</c:formatCode>
                <c:ptCount val="1"/>
                <c:pt idx="0">
                  <c:v>102.50988882481526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0D-41B3-9235-426D7BDC4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7953759"/>
        <c:axId val="1"/>
      </c:barChart>
      <c:catAx>
        <c:axId val="997953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795375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Investimento</a:t>
            </a:r>
            <a:r>
              <a:rPr lang="pt-BR" baseline="0"/>
              <a:t> em Capex</a:t>
            </a:r>
            <a:endParaRPr lang="pt-B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Gráficos!$A$7</c:f>
              <c:strCache>
                <c:ptCount val="1"/>
                <c:pt idx="0">
                  <c:v>Capex</c:v>
                </c:pt>
              </c:strCache>
            </c:strRef>
          </c:cat>
          <c:val>
            <c:numRef>
              <c:f>Gráficos!$B$7</c:f>
              <c:numCache>
                <c:formatCode>"R$"\ #,##0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48F8-4C1D-B370-613CB5B67DDE}"/>
            </c:ext>
          </c:extLst>
        </c:ser>
        <c:ser>
          <c:idx val="1"/>
          <c:order val="1"/>
          <c:tx>
            <c:strRef>
              <c:f>Gráficos!$C$2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Gráficos!$A$7</c:f>
              <c:strCache>
                <c:ptCount val="1"/>
                <c:pt idx="0">
                  <c:v>Capex</c:v>
                </c:pt>
              </c:strCache>
            </c:strRef>
          </c:cat>
          <c:val>
            <c:numRef>
              <c:f>Gráficos!$C$7</c:f>
              <c:numCache>
                <c:formatCode>"R$"\ #,##0</c:formatCode>
                <c:ptCount val="1"/>
                <c:pt idx="0">
                  <c:v>-85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8-4C1D-B370-613CB5B67DDE}"/>
            </c:ext>
          </c:extLst>
        </c:ser>
        <c:ser>
          <c:idx val="2"/>
          <c:order val="2"/>
          <c:tx>
            <c:strRef>
              <c:f>Gráficos!$D$2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Gráficos!$A$7</c:f>
              <c:strCache>
                <c:ptCount val="1"/>
                <c:pt idx="0">
                  <c:v>Capex</c:v>
                </c:pt>
              </c:strCache>
            </c:strRef>
          </c:cat>
          <c:val>
            <c:numRef>
              <c:f>Gráficos!$D$7</c:f>
              <c:numCache>
                <c:formatCode>"R$"\ #,##0</c:formatCode>
                <c:ptCount val="1"/>
                <c:pt idx="0">
                  <c:v>-42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F8-4C1D-B370-613CB5B67DDE}"/>
            </c:ext>
          </c:extLst>
        </c:ser>
        <c:ser>
          <c:idx val="3"/>
          <c:order val="3"/>
          <c:tx>
            <c:strRef>
              <c:f>Gráficos!$E$2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Gráficos!$A$7</c:f>
              <c:strCache>
                <c:ptCount val="1"/>
                <c:pt idx="0">
                  <c:v>Capex</c:v>
                </c:pt>
              </c:strCache>
            </c:strRef>
          </c:cat>
          <c:val>
            <c:numRef>
              <c:f>Gráficos!$E$7</c:f>
              <c:numCache>
                <c:formatCode>"R$"\ #,##0</c:formatCode>
                <c:ptCount val="1"/>
                <c:pt idx="0">
                  <c:v>-180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F8-4C1D-B370-613CB5B67DDE}"/>
            </c:ext>
          </c:extLst>
        </c:ser>
        <c:ser>
          <c:idx val="4"/>
          <c:order val="4"/>
          <c:tx>
            <c:strRef>
              <c:f>Gráficos!$F$2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Gráficos!$A$7</c:f>
              <c:strCache>
                <c:ptCount val="1"/>
                <c:pt idx="0">
                  <c:v>Capex</c:v>
                </c:pt>
              </c:strCache>
            </c:strRef>
          </c:cat>
          <c:val>
            <c:numRef>
              <c:f>Gráficos!$F$7</c:f>
              <c:numCache>
                <c:formatCode>"R$"\ #,##0</c:formatCode>
                <c:ptCount val="1"/>
                <c:pt idx="0">
                  <c:v>-157.67940000000002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F8-4C1D-B370-613CB5B67DDE}"/>
            </c:ext>
          </c:extLst>
        </c:ser>
        <c:ser>
          <c:idx val="5"/>
          <c:order val="5"/>
          <c:tx>
            <c:strRef>
              <c:f>Gráficos!$G$2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Gráficos!$A$7</c:f>
              <c:strCache>
                <c:ptCount val="1"/>
                <c:pt idx="0">
                  <c:v>Capex</c:v>
                </c:pt>
              </c:strCache>
            </c:strRef>
          </c:cat>
          <c:val>
            <c:numRef>
              <c:f>Gráficos!$G$7</c:f>
              <c:numCache>
                <c:formatCode>"R$"\ #,##0</c:formatCode>
                <c:ptCount val="1"/>
                <c:pt idx="0">
                  <c:v>-171.87054600000005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F8-4C1D-B370-613CB5B67DDE}"/>
            </c:ext>
          </c:extLst>
        </c:ser>
        <c:ser>
          <c:idx val="6"/>
          <c:order val="6"/>
          <c:tx>
            <c:strRef>
              <c:f>Gráficos!$H$2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Gráficos!$A$7</c:f>
              <c:strCache>
                <c:ptCount val="1"/>
                <c:pt idx="0">
                  <c:v>Capex</c:v>
                </c:pt>
              </c:strCache>
            </c:strRef>
          </c:cat>
          <c:val>
            <c:numRef>
              <c:f>Gráficos!$H$7</c:f>
              <c:numCache>
                <c:formatCode>"R$"\ #,##0</c:formatCode>
                <c:ptCount val="1"/>
                <c:pt idx="0">
                  <c:v>-187.33889514000003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F8-4C1D-B370-613CB5B67DDE}"/>
            </c:ext>
          </c:extLst>
        </c:ser>
        <c:ser>
          <c:idx val="7"/>
          <c:order val="7"/>
          <c:tx>
            <c:strRef>
              <c:f>Gráficos!$I$2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Gráficos!$A$7</c:f>
              <c:strCache>
                <c:ptCount val="1"/>
                <c:pt idx="0">
                  <c:v>Capex</c:v>
                </c:pt>
              </c:strCache>
            </c:strRef>
          </c:cat>
          <c:val>
            <c:numRef>
              <c:f>Gráficos!$I$7</c:f>
              <c:numCache>
                <c:formatCode>"R$"\ #,##0</c:formatCode>
                <c:ptCount val="1"/>
                <c:pt idx="0">
                  <c:v>-204.19939570260007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F8-4C1D-B370-613CB5B67DDE}"/>
            </c:ext>
          </c:extLst>
        </c:ser>
        <c:ser>
          <c:idx val="8"/>
          <c:order val="8"/>
          <c:tx>
            <c:strRef>
              <c:f>Gráficos!$J$2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Gráficos!$A$7</c:f>
              <c:strCache>
                <c:ptCount val="1"/>
                <c:pt idx="0">
                  <c:v>Capex</c:v>
                </c:pt>
              </c:strCache>
            </c:strRef>
          </c:cat>
          <c:val>
            <c:numRef>
              <c:f>Gráficos!$J$7</c:f>
              <c:numCache>
                <c:formatCode>"R$"\ #,##0</c:formatCode>
                <c:ptCount val="1"/>
                <c:pt idx="0">
                  <c:v>-222.5773413158341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F8-4C1D-B370-613CB5B67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7955423"/>
        <c:axId val="1"/>
      </c:barChart>
      <c:catAx>
        <c:axId val="99795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795542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s!A1"/><Relationship Id="rId2" Type="http://schemas.openxmlformats.org/officeDocument/2006/relationships/image" Target="../media/image1.png"/><Relationship Id="rId1" Type="http://schemas.openxmlformats.org/officeDocument/2006/relationships/hyperlink" Target="#Valuation!A1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chart" Target="../charts/chart3.xml"/><Relationship Id="rId7" Type="http://schemas.openxmlformats.org/officeDocument/2006/relationships/image" Target="../media/image5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emf"/><Relationship Id="rId5" Type="http://schemas.openxmlformats.org/officeDocument/2006/relationships/chart" Target="../charts/chart5.xml"/><Relationship Id="rId10" Type="http://schemas.openxmlformats.org/officeDocument/2006/relationships/image" Target="../media/image3.png"/><Relationship Id="rId4" Type="http://schemas.openxmlformats.org/officeDocument/2006/relationships/chart" Target="../charts/chart4.xml"/><Relationship Id="rId9" Type="http://schemas.openxmlformats.org/officeDocument/2006/relationships/hyperlink" Target="#Menu!A1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31435</xdr:colOff>
      <xdr:row>6</xdr:row>
      <xdr:rowOff>112210</xdr:rowOff>
    </xdr:from>
    <xdr:ext cx="6776086" cy="937629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F51B2D3A-4256-4CB6-8806-F82CDE5A8948}"/>
            </a:ext>
          </a:extLst>
        </xdr:cNvPr>
        <xdr:cNvSpPr/>
      </xdr:nvSpPr>
      <xdr:spPr>
        <a:xfrm>
          <a:off x="4832035" y="1198060"/>
          <a:ext cx="677608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Modelo DFC Valuation</a:t>
          </a:r>
        </a:p>
      </xdr:txBody>
    </xdr:sp>
    <xdr:clientData/>
  </xdr:oneCellAnchor>
  <xdr:twoCellAnchor editAs="oneCell">
    <xdr:from>
      <xdr:col>8</xdr:col>
      <xdr:colOff>247650</xdr:colOff>
      <xdr:row>17</xdr:row>
      <xdr:rowOff>76200</xdr:rowOff>
    </xdr:from>
    <xdr:to>
      <xdr:col>9</xdr:col>
      <xdr:colOff>476250</xdr:colOff>
      <xdr:row>22</xdr:row>
      <xdr:rowOff>85725</xdr:rowOff>
    </xdr:to>
    <xdr:pic>
      <xdr:nvPicPr>
        <xdr:cNvPr id="6" name="Gráfico 5" descr="Lápi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FDE580-8A5A-4608-9C66-0AE293DB6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315277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13</xdr:col>
      <xdr:colOff>514350</xdr:colOff>
      <xdr:row>18</xdr:row>
      <xdr:rowOff>28575</xdr:rowOff>
    </xdr:from>
    <xdr:to>
      <xdr:col>15</xdr:col>
      <xdr:colOff>57150</xdr:colOff>
      <xdr:row>23</xdr:row>
      <xdr:rowOff>38100</xdr:rowOff>
    </xdr:to>
    <xdr:pic>
      <xdr:nvPicPr>
        <xdr:cNvPr id="8" name="Gráfico 7" descr="Tendência para cim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01E2AB-15FC-49A8-AF1C-DEE4CB4B2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328612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495300</xdr:colOff>
      <xdr:row>10</xdr:row>
      <xdr:rowOff>19050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4CEF2E1-718E-40B8-B907-A13B355DD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828800" cy="1828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628650</xdr:colOff>
      <xdr:row>3</xdr:row>
      <xdr:rowOff>152400</xdr:rowOff>
    </xdr:to>
    <xdr:sp macro="" textlink="">
      <xdr:nvSpPr>
        <xdr:cNvPr id="3" name="Seta: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00F5C9-B645-4525-AF8D-B7E6EDC680C3}"/>
            </a:ext>
          </a:extLst>
        </xdr:cNvPr>
        <xdr:cNvSpPr/>
      </xdr:nvSpPr>
      <xdr:spPr>
        <a:xfrm>
          <a:off x="7048500" y="0"/>
          <a:ext cx="1352550" cy="695325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1</xdr:col>
      <xdr:colOff>65300</xdr:colOff>
      <xdr:row>0</xdr:row>
      <xdr:rowOff>0</xdr:rowOff>
    </xdr:from>
    <xdr:to>
      <xdr:col>1</xdr:col>
      <xdr:colOff>890058</xdr:colOff>
      <xdr:row>4</xdr:row>
      <xdr:rowOff>94192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2E4081E-7617-47CB-B8FC-8880200EB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750" y="0"/>
          <a:ext cx="824758" cy="8180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14</xdr:row>
      <xdr:rowOff>85725</xdr:rowOff>
    </xdr:to>
    <xdr:graphicFrame macro="">
      <xdr:nvGraphicFramePr>
        <xdr:cNvPr id="4129" name="Gráfico 1">
          <a:extLst>
            <a:ext uri="{FF2B5EF4-FFF2-40B4-BE49-F238E27FC236}">
              <a16:creationId xmlns:a16="http://schemas.microsoft.com/office/drawing/2014/main" id="{E7E35A85-B71E-48AF-8339-EA0FF492C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0</xdr:row>
      <xdr:rowOff>0</xdr:rowOff>
    </xdr:from>
    <xdr:to>
      <xdr:col>11</xdr:col>
      <xdr:colOff>342900</xdr:colOff>
      <xdr:row>14</xdr:row>
      <xdr:rowOff>85725</xdr:rowOff>
    </xdr:to>
    <xdr:graphicFrame macro="">
      <xdr:nvGraphicFramePr>
        <xdr:cNvPr id="4130" name="Gráfico 2">
          <a:extLst>
            <a:ext uri="{FF2B5EF4-FFF2-40B4-BE49-F238E27FC236}">
              <a16:creationId xmlns:a16="http://schemas.microsoft.com/office/drawing/2014/main" id="{AFE5BC51-5710-42CA-86C7-FD1168CD86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371475</xdr:colOff>
      <xdr:row>17</xdr:row>
      <xdr:rowOff>142875</xdr:rowOff>
    </xdr:from>
    <xdr:to>
      <xdr:col>11</xdr:col>
      <xdr:colOff>400050</xdr:colOff>
      <xdr:row>32</xdr:row>
      <xdr:rowOff>171450</xdr:rowOff>
    </xdr:to>
    <xdr:graphicFrame macro="">
      <xdr:nvGraphicFramePr>
        <xdr:cNvPr id="4131" name="Gráfico 3">
          <a:extLst>
            <a:ext uri="{FF2B5EF4-FFF2-40B4-BE49-F238E27FC236}">
              <a16:creationId xmlns:a16="http://schemas.microsoft.com/office/drawing/2014/main" id="{A13289C6-7717-4389-B904-D505178E31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17</xdr:row>
      <xdr:rowOff>142875</xdr:rowOff>
    </xdr:from>
    <xdr:to>
      <xdr:col>5</xdr:col>
      <xdr:colOff>304800</xdr:colOff>
      <xdr:row>32</xdr:row>
      <xdr:rowOff>171450</xdr:rowOff>
    </xdr:to>
    <xdr:graphicFrame macro="">
      <xdr:nvGraphicFramePr>
        <xdr:cNvPr id="4132" name="Gráfico 4">
          <a:extLst>
            <a:ext uri="{FF2B5EF4-FFF2-40B4-BE49-F238E27FC236}">
              <a16:creationId xmlns:a16="http://schemas.microsoft.com/office/drawing/2014/main" id="{5D79F3A9-B528-49F2-8B3F-A5E5D9C4F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371475</xdr:colOff>
      <xdr:row>0</xdr:row>
      <xdr:rowOff>0</xdr:rowOff>
    </xdr:from>
    <xdr:to>
      <xdr:col>18</xdr:col>
      <xdr:colOff>142875</xdr:colOff>
      <xdr:row>14</xdr:row>
      <xdr:rowOff>85725</xdr:rowOff>
    </xdr:to>
    <xdr:graphicFrame macro="">
      <xdr:nvGraphicFramePr>
        <xdr:cNvPr id="4133" name="Gráfico 5">
          <a:extLst>
            <a:ext uri="{FF2B5EF4-FFF2-40B4-BE49-F238E27FC236}">
              <a16:creationId xmlns:a16="http://schemas.microsoft.com/office/drawing/2014/main" id="{BD805E2D-B486-431A-ACED-1C84C0838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33</xdr:row>
          <xdr:rowOff>104775</xdr:rowOff>
        </xdr:from>
        <xdr:to>
          <xdr:col>18</xdr:col>
          <xdr:colOff>123825</xdr:colOff>
          <xdr:row>42</xdr:row>
          <xdr:rowOff>114300</xdr:rowOff>
        </xdr:to>
        <xdr:pic>
          <xdr:nvPicPr>
            <xdr:cNvPr id="4134" name="Imagem 6">
              <a:extLst>
                <a:ext uri="{FF2B5EF4-FFF2-40B4-BE49-F238E27FC236}">
                  <a16:creationId xmlns:a16="http://schemas.microsoft.com/office/drawing/2014/main" id="{E617C0C3-A5F0-43C1-BCFE-E87DE12DB0E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aluation!$B$126:$H$134" spid="_x0000_s415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29475" y="6200775"/>
              <a:ext cx="6505575" cy="16383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619125</xdr:colOff>
          <xdr:row>18</xdr:row>
          <xdr:rowOff>57150</xdr:rowOff>
        </xdr:from>
        <xdr:to>
          <xdr:col>17</xdr:col>
          <xdr:colOff>38100</xdr:colOff>
          <xdr:row>29</xdr:row>
          <xdr:rowOff>9525</xdr:rowOff>
        </xdr:to>
        <xdr:pic>
          <xdr:nvPicPr>
            <xdr:cNvPr id="4135" name="Imagem 8">
              <a:extLst>
                <a:ext uri="{FF2B5EF4-FFF2-40B4-BE49-F238E27FC236}">
                  <a16:creationId xmlns:a16="http://schemas.microsoft.com/office/drawing/2014/main" id="{132CF083-EF51-444A-B8A7-DBA867D4943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aluation!$B$45:$C$54" spid="_x0000_s4153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10115550" y="3438525"/>
              <a:ext cx="2847975" cy="19431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28575</xdr:rowOff>
        </xdr:from>
        <xdr:to>
          <xdr:col>8</xdr:col>
          <xdr:colOff>9525</xdr:colOff>
          <xdr:row>42</xdr:row>
          <xdr:rowOff>38100</xdr:rowOff>
        </xdr:to>
        <xdr:pic>
          <xdr:nvPicPr>
            <xdr:cNvPr id="4136" name="Imagem 9">
              <a:extLst>
                <a:ext uri="{FF2B5EF4-FFF2-40B4-BE49-F238E27FC236}">
                  <a16:creationId xmlns:a16="http://schemas.microsoft.com/office/drawing/2014/main" id="{842520F4-3BE5-432C-8156-7C958308004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Valuation!$B$136:$H$143" spid="_x0000_s4154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85725" y="6305550"/>
              <a:ext cx="6505575" cy="14573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20</xdr:col>
      <xdr:colOff>0</xdr:colOff>
      <xdr:row>5</xdr:row>
      <xdr:rowOff>0</xdr:rowOff>
    </xdr:from>
    <xdr:to>
      <xdr:col>21</xdr:col>
      <xdr:colOff>666750</xdr:colOff>
      <xdr:row>8</xdr:row>
      <xdr:rowOff>28575</xdr:rowOff>
    </xdr:to>
    <xdr:sp macro="" textlink="">
      <xdr:nvSpPr>
        <xdr:cNvPr id="11" name="Seta: para a Esquerda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9DEAD05-203C-43DB-8BE8-FC929D70EA71}"/>
            </a:ext>
          </a:extLst>
        </xdr:cNvPr>
        <xdr:cNvSpPr/>
      </xdr:nvSpPr>
      <xdr:spPr>
        <a:xfrm>
          <a:off x="14982825" y="904875"/>
          <a:ext cx="1352550" cy="695325"/>
        </a:xfrm>
        <a:prstGeom prst="lef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21</xdr:col>
      <xdr:colOff>138958</xdr:colOff>
      <xdr:row>16</xdr:row>
      <xdr:rowOff>94192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FEB0C403-70AD-4511-B6F3-EDCC378AD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2825" y="2295525"/>
          <a:ext cx="824758" cy="818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valini.com.b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B24:O28"/>
  <sheetViews>
    <sheetView showGridLines="0" showRowColHeaders="0" tabSelected="1" zoomScale="90" zoomScaleNormal="90" workbookViewId="0"/>
  </sheetViews>
  <sheetFormatPr defaultRowHeight="14.25" x14ac:dyDescent="0.2"/>
  <cols>
    <col min="1" max="3" width="9" style="317"/>
    <col min="4" max="4" width="16.375" style="317" customWidth="1"/>
    <col min="5" max="16384" width="9" style="317"/>
  </cols>
  <sheetData>
    <row r="24" spans="2:15" x14ac:dyDescent="0.2">
      <c r="I24" s="318" t="s">
        <v>112</v>
      </c>
      <c r="J24" s="318"/>
      <c r="O24" s="319" t="s">
        <v>114</v>
      </c>
    </row>
    <row r="27" spans="2:15" ht="20.25" x14ac:dyDescent="0.3">
      <c r="B27" s="320" t="s">
        <v>115</v>
      </c>
      <c r="C27" s="320"/>
      <c r="D27" s="320"/>
    </row>
    <row r="28" spans="2:15" x14ac:dyDescent="0.2">
      <c r="B28" s="321">
        <f ca="1">NOW()</f>
        <v>44674.75868564815</v>
      </c>
      <c r="C28" s="322"/>
      <c r="D28" s="322"/>
    </row>
  </sheetData>
  <sheetProtection algorithmName="SHA-512" hashValue="EqQTkY2w7pTi9NKYKhW2FojOCvn6vgW9MBPe5wI2o9SxnC6KAWhdwQ7xLmJwmsFaVGTnzNw3GJk0vpy76TW0Rg==" saltValue="l+WUkXpB5yB//qK2rbM20w==" spinCount="100000" sheet="1" objects="1" scenarios="1"/>
  <mergeCells count="3">
    <mergeCell ref="B27:D27"/>
    <mergeCell ref="B28:D28"/>
    <mergeCell ref="I24:J24"/>
  </mergeCells>
  <hyperlinks>
    <hyperlink ref="B27" r:id="rId1" display="www.valini.com.br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2:AK167"/>
  <sheetViews>
    <sheetView showGridLines="0" showRowColHeaders="0" workbookViewId="0">
      <selection activeCell="P28" sqref="P28"/>
    </sheetView>
  </sheetViews>
  <sheetFormatPr defaultRowHeight="14.25" x14ac:dyDescent="0.2"/>
  <cols>
    <col min="1" max="1" width="7.25" style="323" customWidth="1"/>
    <col min="2" max="2" width="27.75" style="323" bestFit="1" customWidth="1"/>
    <col min="3" max="6" width="9.5" style="323" customWidth="1"/>
    <col min="7" max="7" width="10" style="323" customWidth="1"/>
    <col min="8" max="12" width="9.5" style="323" customWidth="1"/>
    <col min="13" max="13" width="2.125" style="323" customWidth="1"/>
    <col min="14" max="37" width="9" style="323"/>
    <col min="38" max="16384" width="9" style="317"/>
  </cols>
  <sheetData>
    <row r="2" spans="1:37" x14ac:dyDescent="0.2">
      <c r="C2" s="14"/>
      <c r="D2" s="327" t="s">
        <v>113</v>
      </c>
    </row>
    <row r="5" spans="1:37" ht="15" thickBot="1" x14ac:dyDescent="0.25"/>
    <row r="6" spans="1:37" ht="15" thickTop="1" x14ac:dyDescent="0.2">
      <c r="B6" s="289" t="s">
        <v>0</v>
      </c>
      <c r="C6" s="290"/>
      <c r="D6" s="290"/>
      <c r="E6" s="290"/>
      <c r="F6" s="290"/>
      <c r="G6" s="290"/>
      <c r="H6" s="290"/>
      <c r="I6" s="290"/>
      <c r="J6" s="290"/>
      <c r="K6" s="290"/>
      <c r="L6" s="291"/>
      <c r="M6" s="328"/>
      <c r="N6" s="324"/>
    </row>
    <row r="7" spans="1:37" x14ac:dyDescent="0.2">
      <c r="B7" s="194" t="s">
        <v>1</v>
      </c>
      <c r="C7" s="292" t="s">
        <v>2</v>
      </c>
      <c r="D7" s="293"/>
      <c r="E7" s="293"/>
      <c r="F7" s="294"/>
      <c r="G7" s="1" t="s">
        <v>3</v>
      </c>
      <c r="H7" s="295" t="s">
        <v>4</v>
      </c>
      <c r="I7" s="296"/>
      <c r="J7" s="296"/>
      <c r="K7" s="296"/>
      <c r="L7" s="297"/>
      <c r="M7" s="329"/>
      <c r="N7" s="324"/>
    </row>
    <row r="8" spans="1:37" x14ac:dyDescent="0.2">
      <c r="B8" s="195"/>
      <c r="C8" s="2">
        <v>2014</v>
      </c>
      <c r="D8" s="2">
        <f>+C8+1</f>
        <v>2015</v>
      </c>
      <c r="E8" s="2">
        <f>+D8+1</f>
        <v>2016</v>
      </c>
      <c r="F8" s="2">
        <f>+E8+1</f>
        <v>2017</v>
      </c>
      <c r="G8" s="3" t="str">
        <f>"("&amp;RIGHT(C8,2)&amp;" - "&amp;RIGHT(F8,2)&amp;")"</f>
        <v>(14 - 17)</v>
      </c>
      <c r="H8" s="4">
        <f>F8+1</f>
        <v>2018</v>
      </c>
      <c r="I8" s="5">
        <f>H8+1</f>
        <v>2019</v>
      </c>
      <c r="J8" s="5">
        <f>I8+1</f>
        <v>2020</v>
      </c>
      <c r="K8" s="5">
        <f>J8+1</f>
        <v>2021</v>
      </c>
      <c r="L8" s="196">
        <f>K8+1</f>
        <v>2022</v>
      </c>
      <c r="M8" s="329"/>
      <c r="N8" s="324"/>
    </row>
    <row r="9" spans="1:37" x14ac:dyDescent="0.2">
      <c r="B9" s="197" t="s">
        <v>5</v>
      </c>
      <c r="C9" s="6">
        <v>2867</v>
      </c>
      <c r="D9" s="6">
        <v>2766</v>
      </c>
      <c r="E9" s="6">
        <v>4055</v>
      </c>
      <c r="F9" s="6">
        <v>4822</v>
      </c>
      <c r="G9" s="7">
        <f>(F9/C9)^(1/3)-1</f>
        <v>0.18923177443426109</v>
      </c>
      <c r="H9" s="8">
        <f>F9*(1+H10)</f>
        <v>5255.9800000000005</v>
      </c>
      <c r="I9" s="9">
        <f>H9*(1+I10)</f>
        <v>5729.0182000000013</v>
      </c>
      <c r="J9" s="8">
        <f>I9*(1+J10)</f>
        <v>6244.6298380000017</v>
      </c>
      <c r="K9" s="8">
        <f>J9*(1+K10)</f>
        <v>6806.6465234200023</v>
      </c>
      <c r="L9" s="198">
        <f>K9*(1+L10)</f>
        <v>7419.2447105278034</v>
      </c>
      <c r="M9" s="330"/>
    </row>
    <row r="10" spans="1:37" x14ac:dyDescent="0.2">
      <c r="A10" s="324"/>
      <c r="B10" s="199" t="s">
        <v>6</v>
      </c>
      <c r="C10" s="12"/>
      <c r="D10" s="13">
        <f>(D9/C9)-1</f>
        <v>-3.5228461806766642E-2</v>
      </c>
      <c r="E10" s="12">
        <f>(E9/D9)-1</f>
        <v>0.46601590744757782</v>
      </c>
      <c r="F10" s="13">
        <f>(F9/E9)-1</f>
        <v>0.18914919852034529</v>
      </c>
      <c r="G10" s="12"/>
      <c r="H10" s="14">
        <v>0.09</v>
      </c>
      <c r="I10" s="15">
        <v>0.09</v>
      </c>
      <c r="J10" s="14">
        <v>0.09</v>
      </c>
      <c r="K10" s="14">
        <v>0.09</v>
      </c>
      <c r="L10" s="200">
        <v>0.09</v>
      </c>
      <c r="M10" s="331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</row>
    <row r="11" spans="1:37" x14ac:dyDescent="0.2">
      <c r="B11" s="201" t="s">
        <v>7</v>
      </c>
      <c r="C11" s="16">
        <f>-C9*0.215</f>
        <v>-616.40499999999997</v>
      </c>
      <c r="D11" s="16">
        <f>-D9*0.215</f>
        <v>-594.68999999999994</v>
      </c>
      <c r="E11" s="16">
        <f>-E9*0.215</f>
        <v>-871.82499999999993</v>
      </c>
      <c r="F11" s="16">
        <f>-F9*0.215</f>
        <v>-1036.73</v>
      </c>
      <c r="G11" s="7"/>
      <c r="H11" s="17">
        <f>+H9*H12</f>
        <v>-1130.0357000000001</v>
      </c>
      <c r="I11" s="17">
        <f>+I9*I12</f>
        <v>-1231.7389130000004</v>
      </c>
      <c r="J11" s="17">
        <f>+J9*J12</f>
        <v>-1342.5954151700003</v>
      </c>
      <c r="K11" s="17">
        <f>+K9*K12</f>
        <v>-1463.4290025353005</v>
      </c>
      <c r="L11" s="202">
        <f>+L9*L12</f>
        <v>-1595.1376127634776</v>
      </c>
      <c r="M11" s="330"/>
    </row>
    <row r="12" spans="1:37" x14ac:dyDescent="0.2">
      <c r="B12" s="201" t="s">
        <v>8</v>
      </c>
      <c r="C12" s="18">
        <f>IFERROR(C11/C$9,0)</f>
        <v>-0.215</v>
      </c>
      <c r="D12" s="18">
        <f>IFERROR(D11/D$9,0)</f>
        <v>-0.21499999999999997</v>
      </c>
      <c r="E12" s="18">
        <f>IFERROR(E11/E$9,0)</f>
        <v>-0.215</v>
      </c>
      <c r="F12" s="18">
        <f>IFERROR(F11/F$9,0)</f>
        <v>-0.215</v>
      </c>
      <c r="G12" s="7"/>
      <c r="H12" s="14">
        <v>-0.215</v>
      </c>
      <c r="I12" s="15">
        <v>-0.215</v>
      </c>
      <c r="J12" s="14">
        <v>-0.215</v>
      </c>
      <c r="K12" s="14">
        <v>-0.215</v>
      </c>
      <c r="L12" s="200">
        <v>-0.215</v>
      </c>
      <c r="M12" s="330"/>
    </row>
    <row r="13" spans="1:37" x14ac:dyDescent="0.2">
      <c r="A13" s="325"/>
      <c r="B13" s="203" t="s">
        <v>9</v>
      </c>
      <c r="C13" s="19">
        <f>+C9+C11</f>
        <v>2250.5950000000003</v>
      </c>
      <c r="D13" s="19">
        <f>+D9+D11</f>
        <v>2171.31</v>
      </c>
      <c r="E13" s="19">
        <f>+E9+E11</f>
        <v>3183.1750000000002</v>
      </c>
      <c r="F13" s="19">
        <f>+F9+F11</f>
        <v>3785.27</v>
      </c>
      <c r="G13" s="20">
        <f>(F13/C13)^(1/3)-1</f>
        <v>0.18923177443426109</v>
      </c>
      <c r="H13" s="19">
        <f>+H9+H11</f>
        <v>4125.9443000000001</v>
      </c>
      <c r="I13" s="19">
        <f>+I9+I11</f>
        <v>4497.2792870000012</v>
      </c>
      <c r="J13" s="19">
        <f>+J9+J11</f>
        <v>4902.0344228300019</v>
      </c>
      <c r="K13" s="19">
        <f>+K9+K11</f>
        <v>5343.217520884702</v>
      </c>
      <c r="L13" s="204">
        <f>+L9+L11</f>
        <v>5824.1070977643258</v>
      </c>
      <c r="M13" s="332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</row>
    <row r="14" spans="1:37" x14ac:dyDescent="0.2">
      <c r="A14" s="325"/>
      <c r="B14" s="203" t="s">
        <v>10</v>
      </c>
      <c r="C14" s="21">
        <f>IFERROR(C13/C$9,0)</f>
        <v>0.78500000000000014</v>
      </c>
      <c r="D14" s="21">
        <f>IFERROR(D13/D$9,0)</f>
        <v>0.78500000000000003</v>
      </c>
      <c r="E14" s="21">
        <f>IFERROR(E13/E$9,0)</f>
        <v>0.78500000000000003</v>
      </c>
      <c r="F14" s="21">
        <f>IFERROR(F13/F$9,0)</f>
        <v>0.78500000000000003</v>
      </c>
      <c r="G14" s="22"/>
      <c r="H14" s="21">
        <f>IFERROR(H13/H$9,0)</f>
        <v>0.78499999999999992</v>
      </c>
      <c r="I14" s="21">
        <f>IFERROR(I13/I$9,0)</f>
        <v>0.78500000000000003</v>
      </c>
      <c r="J14" s="21">
        <f>IFERROR(J13/J$9,0)</f>
        <v>0.78500000000000014</v>
      </c>
      <c r="K14" s="21">
        <f>IFERROR(K13/K$9,0)</f>
        <v>0.78500000000000003</v>
      </c>
      <c r="L14" s="205">
        <f>IFERROR(L13/L$9,0)</f>
        <v>0.78500000000000003</v>
      </c>
      <c r="M14" s="332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</row>
    <row r="15" spans="1:37" x14ac:dyDescent="0.2">
      <c r="B15" s="201" t="s">
        <v>11</v>
      </c>
      <c r="C15" s="16">
        <f>-C9*0.58</f>
        <v>-1662.86</v>
      </c>
      <c r="D15" s="16">
        <f>-D9*0.58</f>
        <v>-1604.28</v>
      </c>
      <c r="E15" s="16">
        <f>-E9*0.58</f>
        <v>-2351.8999999999996</v>
      </c>
      <c r="F15" s="16">
        <f>-F9*0.58</f>
        <v>-2796.7599999999998</v>
      </c>
      <c r="G15" s="7"/>
      <c r="H15" s="17">
        <f>+H9*H16</f>
        <v>-3048.4684000000002</v>
      </c>
      <c r="I15" s="17">
        <f>+I9*I16</f>
        <v>-3322.8305560000003</v>
      </c>
      <c r="J15" s="17">
        <f>+J9*J16</f>
        <v>-3621.8853060400006</v>
      </c>
      <c r="K15" s="17">
        <f>+K9*K16</f>
        <v>-3947.8549835836011</v>
      </c>
      <c r="L15" s="202">
        <f>+L9*L16</f>
        <v>-4303.1619321061253</v>
      </c>
      <c r="M15" s="330"/>
    </row>
    <row r="16" spans="1:37" x14ac:dyDescent="0.2">
      <c r="B16" s="201"/>
      <c r="C16" s="23"/>
      <c r="D16" s="23"/>
      <c r="E16" s="17"/>
      <c r="F16" s="23"/>
      <c r="G16" s="7"/>
      <c r="H16" s="14">
        <v>-0.57999999999999996</v>
      </c>
      <c r="I16" s="15">
        <v>-0.57999999999999996</v>
      </c>
      <c r="J16" s="14">
        <v>-0.57999999999999996</v>
      </c>
      <c r="K16" s="14">
        <v>-0.57999999999999996</v>
      </c>
      <c r="L16" s="200">
        <v>-0.57999999999999996</v>
      </c>
      <c r="M16" s="330"/>
    </row>
    <row r="17" spans="1:37" x14ac:dyDescent="0.2">
      <c r="A17" s="325"/>
      <c r="B17" s="203" t="s">
        <v>12</v>
      </c>
      <c r="C17" s="19">
        <f>+C9+C15</f>
        <v>1204.1400000000001</v>
      </c>
      <c r="D17" s="19">
        <f t="shared" ref="D17:L17" si="0">+D9+D15</f>
        <v>1161.72</v>
      </c>
      <c r="E17" s="19">
        <f t="shared" si="0"/>
        <v>1703.1000000000004</v>
      </c>
      <c r="F17" s="19">
        <f t="shared" si="0"/>
        <v>2025.2400000000002</v>
      </c>
      <c r="G17" s="22"/>
      <c r="H17" s="19">
        <f t="shared" si="0"/>
        <v>2207.5116000000003</v>
      </c>
      <c r="I17" s="19">
        <f t="shared" si="0"/>
        <v>2406.187644000001</v>
      </c>
      <c r="J17" s="19">
        <f t="shared" si="0"/>
        <v>2622.744531960001</v>
      </c>
      <c r="K17" s="19">
        <f t="shared" si="0"/>
        <v>2858.7915398364012</v>
      </c>
      <c r="L17" s="204">
        <f t="shared" si="0"/>
        <v>3116.0827784216781</v>
      </c>
      <c r="M17" s="332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</row>
    <row r="18" spans="1:37" x14ac:dyDescent="0.2">
      <c r="A18" s="325"/>
      <c r="B18" s="203" t="s">
        <v>13</v>
      </c>
      <c r="C18" s="21">
        <f>IFERROR(C17/C9,0)</f>
        <v>0.42000000000000004</v>
      </c>
      <c r="D18" s="21">
        <f>IFERROR(D17/D9,0)</f>
        <v>0.42</v>
      </c>
      <c r="E18" s="21">
        <f>IFERROR(E17/E9,0)</f>
        <v>0.4200000000000001</v>
      </c>
      <c r="F18" s="21">
        <f>IFERROR(F17/F9,0)</f>
        <v>0.42000000000000004</v>
      </c>
      <c r="G18" s="22"/>
      <c r="H18" s="21">
        <f>IFERROR(H17/H9,0)</f>
        <v>0.42000000000000004</v>
      </c>
      <c r="I18" s="21">
        <f>IFERROR(I17/I9,0)</f>
        <v>0.4200000000000001</v>
      </c>
      <c r="J18" s="21">
        <f>IFERROR(J17/J9,0)</f>
        <v>0.42000000000000004</v>
      </c>
      <c r="K18" s="21">
        <f>IFERROR(K17/K9,0)</f>
        <v>0.42000000000000004</v>
      </c>
      <c r="L18" s="205">
        <f>IFERROR(L17/L9,0)</f>
        <v>0.4200000000000001</v>
      </c>
      <c r="M18" s="332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</row>
    <row r="19" spans="1:37" x14ac:dyDescent="0.2">
      <c r="A19" s="325"/>
      <c r="B19" s="206" t="s">
        <v>14</v>
      </c>
      <c r="C19" s="16">
        <f>-C9*0.12</f>
        <v>-344.03999999999996</v>
      </c>
      <c r="D19" s="16">
        <f>-D9*0.12</f>
        <v>-331.92</v>
      </c>
      <c r="E19" s="16">
        <f>-E9*0.12</f>
        <v>-486.59999999999997</v>
      </c>
      <c r="F19" s="16">
        <f>-F9*0.12</f>
        <v>-578.64</v>
      </c>
      <c r="G19" s="24"/>
      <c r="H19" s="25">
        <f>H20*H9</f>
        <v>-473.03820000000002</v>
      </c>
      <c r="I19" s="25">
        <f>I20*I9</f>
        <v>-515.61163800000008</v>
      </c>
      <c r="J19" s="25">
        <f>J20*J9</f>
        <v>-562.01668542000016</v>
      </c>
      <c r="K19" s="25">
        <f>K20*K9</f>
        <v>-612.59818710780019</v>
      </c>
      <c r="L19" s="207">
        <f>L20*L9</f>
        <v>-667.73202394750228</v>
      </c>
      <c r="M19" s="332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</row>
    <row r="20" spans="1:37" x14ac:dyDescent="0.2">
      <c r="A20" s="325"/>
      <c r="B20" s="206" t="s">
        <v>15</v>
      </c>
      <c r="C20" s="26">
        <f>IFERROR(+C19/C9,0)</f>
        <v>-0.11999999999999998</v>
      </c>
      <c r="D20" s="26">
        <f>IFERROR(+D19/D9,0)</f>
        <v>-0.12000000000000001</v>
      </c>
      <c r="E20" s="26">
        <f>IFERROR(+E19/E9,0)</f>
        <v>-0.12</v>
      </c>
      <c r="F20" s="26">
        <f>IFERROR(+F19/F9,0)</f>
        <v>-0.12</v>
      </c>
      <c r="G20" s="24"/>
      <c r="H20" s="14">
        <v>-0.09</v>
      </c>
      <c r="I20" s="15">
        <v>-0.09</v>
      </c>
      <c r="J20" s="14">
        <v>-0.09</v>
      </c>
      <c r="K20" s="14">
        <v>-0.09</v>
      </c>
      <c r="L20" s="200">
        <v>-0.09</v>
      </c>
      <c r="M20" s="332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</row>
    <row r="21" spans="1:37" x14ac:dyDescent="0.2">
      <c r="A21" s="325"/>
      <c r="B21" s="206" t="s">
        <v>16</v>
      </c>
      <c r="C21" s="16">
        <v>-462</v>
      </c>
      <c r="D21" s="16">
        <v>-550</v>
      </c>
      <c r="E21" s="16">
        <v>-650</v>
      </c>
      <c r="F21" s="16">
        <v>-788</v>
      </c>
      <c r="G21" s="24"/>
      <c r="H21" s="17">
        <f>+H22*H9</f>
        <v>-840.95680000000004</v>
      </c>
      <c r="I21" s="17">
        <f>+I22*I9</f>
        <v>-916.64291200000025</v>
      </c>
      <c r="J21" s="17">
        <f>+J22*J9</f>
        <v>-999.14077408000026</v>
      </c>
      <c r="K21" s="17">
        <f>+K22*K9</f>
        <v>-1089.0634437472004</v>
      </c>
      <c r="L21" s="202">
        <f>+L22*L9</f>
        <v>-1187.0791536844486</v>
      </c>
      <c r="M21" s="332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</row>
    <row r="22" spans="1:37" x14ac:dyDescent="0.2">
      <c r="A22" s="325"/>
      <c r="B22" s="206" t="s">
        <v>17</v>
      </c>
      <c r="C22" s="26">
        <f>IFERROR(+C21/C9,0)</f>
        <v>-0.16114405301709103</v>
      </c>
      <c r="D22" s="26">
        <f>IFERROR(+D21/D9,0)</f>
        <v>-0.19884309472161968</v>
      </c>
      <c r="E22" s="26">
        <f>IFERROR(+E21/E9,0)</f>
        <v>-0.16029593094944514</v>
      </c>
      <c r="F22" s="26">
        <f>IFERROR(+F21/F9,0)</f>
        <v>-0.16341766901700538</v>
      </c>
      <c r="G22" s="24"/>
      <c r="H22" s="14">
        <v>-0.16</v>
      </c>
      <c r="I22" s="15">
        <v>-0.16</v>
      </c>
      <c r="J22" s="14">
        <v>-0.16</v>
      </c>
      <c r="K22" s="14">
        <v>-0.16</v>
      </c>
      <c r="L22" s="200">
        <v>-0.16</v>
      </c>
      <c r="M22" s="332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</row>
    <row r="23" spans="1:37" x14ac:dyDescent="0.2">
      <c r="A23" s="324"/>
      <c r="B23" s="201"/>
      <c r="C23" s="27"/>
      <c r="D23" s="28"/>
      <c r="E23" s="27"/>
      <c r="F23" s="28"/>
      <c r="G23" s="29"/>
      <c r="H23" s="30"/>
      <c r="I23" s="31"/>
      <c r="J23" s="30"/>
      <c r="K23" s="30"/>
      <c r="L23" s="208"/>
      <c r="M23" s="331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</row>
    <row r="24" spans="1:37" x14ac:dyDescent="0.2">
      <c r="A24" s="324"/>
      <c r="B24" s="209" t="s">
        <v>18</v>
      </c>
      <c r="C24" s="32">
        <f>+C17+C19+C21</f>
        <v>398.10000000000014</v>
      </c>
      <c r="D24" s="32">
        <f t="shared" ref="D24:L24" si="1">+D17+D19+D21</f>
        <v>279.79999999999995</v>
      </c>
      <c r="E24" s="32">
        <f t="shared" si="1"/>
        <v>566.50000000000045</v>
      </c>
      <c r="F24" s="32">
        <f t="shared" si="1"/>
        <v>658.60000000000036</v>
      </c>
      <c r="G24" s="33">
        <f>(F24/C24)^(1/3)-1</f>
        <v>0.18270522719515281</v>
      </c>
      <c r="H24" s="32">
        <f t="shared" si="1"/>
        <v>893.51660000000027</v>
      </c>
      <c r="I24" s="32">
        <f t="shared" si="1"/>
        <v>973.93309400000066</v>
      </c>
      <c r="J24" s="32">
        <f t="shared" si="1"/>
        <v>1061.5870724600006</v>
      </c>
      <c r="K24" s="32">
        <f t="shared" si="1"/>
        <v>1157.1299089814006</v>
      </c>
      <c r="L24" s="210">
        <f t="shared" si="1"/>
        <v>1261.2716007897275</v>
      </c>
      <c r="M24" s="331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</row>
    <row r="25" spans="1:37" x14ac:dyDescent="0.2">
      <c r="A25" s="326"/>
      <c r="B25" s="211" t="s">
        <v>19</v>
      </c>
      <c r="C25" s="34">
        <f>C24/C9</f>
        <v>0.13885594698290901</v>
      </c>
      <c r="D25" s="35">
        <f>D24/D9</f>
        <v>0.10115690527838031</v>
      </c>
      <c r="E25" s="35">
        <f>E24/E9</f>
        <v>0.13970406905055499</v>
      </c>
      <c r="F25" s="36">
        <f>F24/F9</f>
        <v>0.13658233098299469</v>
      </c>
      <c r="G25" s="37"/>
      <c r="H25" s="36">
        <f>H24/H9</f>
        <v>0.17000000000000004</v>
      </c>
      <c r="I25" s="36">
        <f>I24/I9</f>
        <v>0.17000000000000007</v>
      </c>
      <c r="J25" s="36">
        <f>J24/J9</f>
        <v>0.17000000000000007</v>
      </c>
      <c r="K25" s="36">
        <f>K24/K9</f>
        <v>0.17000000000000004</v>
      </c>
      <c r="L25" s="212">
        <f>L24/L9</f>
        <v>0.17000000000000012</v>
      </c>
      <c r="M25" s="333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</row>
    <row r="26" spans="1:37" x14ac:dyDescent="0.2">
      <c r="A26" s="324"/>
      <c r="B26" s="201"/>
      <c r="C26" s="38"/>
      <c r="D26" s="39"/>
      <c r="E26" s="39"/>
      <c r="F26" s="40"/>
      <c r="G26" s="29"/>
      <c r="H26" s="41"/>
      <c r="I26" s="42"/>
      <c r="J26" s="42"/>
      <c r="K26" s="42"/>
      <c r="L26" s="213"/>
      <c r="M26" s="331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</row>
    <row r="27" spans="1:37" x14ac:dyDescent="0.2">
      <c r="A27" s="324"/>
      <c r="B27" s="201" t="s">
        <v>20</v>
      </c>
      <c r="C27" s="43">
        <v>-52</v>
      </c>
      <c r="D27" s="43">
        <v>-65</v>
      </c>
      <c r="E27" s="43">
        <v>-78</v>
      </c>
      <c r="F27" s="43">
        <v>-92</v>
      </c>
      <c r="G27" s="29"/>
      <c r="H27" s="44">
        <f>-H9*H28</f>
        <v>-105.11960000000001</v>
      </c>
      <c r="I27" s="45">
        <f>-I9*I28</f>
        <v>-114.58036400000003</v>
      </c>
      <c r="J27" s="45">
        <f>-J9*J28</f>
        <v>-124.89259676000003</v>
      </c>
      <c r="K27" s="45">
        <f>-K9*K28</f>
        <v>-136.13293046840005</v>
      </c>
      <c r="L27" s="214">
        <f>-L9*L28</f>
        <v>-148.38489421055607</v>
      </c>
      <c r="M27" s="331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</row>
    <row r="28" spans="1:37" x14ac:dyDescent="0.2">
      <c r="A28" s="324"/>
      <c r="B28" s="199" t="s">
        <v>21</v>
      </c>
      <c r="C28" s="46">
        <f>-(C27/C9)</f>
        <v>1.8137425880711544E-2</v>
      </c>
      <c r="D28" s="46">
        <f>-(D27/D9)</f>
        <v>2.3499638467100507E-2</v>
      </c>
      <c r="E28" s="46">
        <f>-(E27/E9)</f>
        <v>1.9235511713933416E-2</v>
      </c>
      <c r="F28" s="46">
        <f>-(F27/F9)</f>
        <v>1.907922024056408E-2</v>
      </c>
      <c r="G28" s="47"/>
      <c r="H28" s="48">
        <v>0.02</v>
      </c>
      <c r="I28" s="48">
        <v>0.02</v>
      </c>
      <c r="J28" s="48">
        <v>0.02</v>
      </c>
      <c r="K28" s="48">
        <v>0.02</v>
      </c>
      <c r="L28" s="215">
        <v>0.02</v>
      </c>
      <c r="M28" s="331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</row>
    <row r="29" spans="1:37" x14ac:dyDescent="0.2">
      <c r="A29" s="324"/>
      <c r="B29" s="203" t="s">
        <v>22</v>
      </c>
      <c r="C29" s="49">
        <f>C24+C27</f>
        <v>346.10000000000014</v>
      </c>
      <c r="D29" s="49">
        <f>D24+D27</f>
        <v>214.79999999999995</v>
      </c>
      <c r="E29" s="49">
        <f>E24+E27</f>
        <v>488.50000000000045</v>
      </c>
      <c r="F29" s="49">
        <f>F24+F27</f>
        <v>566.60000000000036</v>
      </c>
      <c r="G29" s="20">
        <f>(F29/C29)^(1/3)-1</f>
        <v>0.1785779825787297</v>
      </c>
      <c r="H29" s="49">
        <f>H24+H27</f>
        <v>788.39700000000028</v>
      </c>
      <c r="I29" s="49">
        <f>I24+I27</f>
        <v>859.35273000000063</v>
      </c>
      <c r="J29" s="49">
        <f>J24+J27</f>
        <v>936.69447570000057</v>
      </c>
      <c r="K29" s="49">
        <f>K24+K27</f>
        <v>1020.9969785130006</v>
      </c>
      <c r="L29" s="216">
        <f>L24+L27</f>
        <v>1112.8867065791715</v>
      </c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</row>
    <row r="30" spans="1:37" x14ac:dyDescent="0.2">
      <c r="A30" s="324"/>
      <c r="B30" s="201"/>
      <c r="C30" s="29"/>
      <c r="D30" s="40"/>
      <c r="E30" s="29"/>
      <c r="F30" s="40"/>
      <c r="G30" s="29"/>
      <c r="H30" s="51"/>
      <c r="I30" s="52"/>
      <c r="J30" s="51"/>
      <c r="K30" s="51"/>
      <c r="L30" s="217"/>
      <c r="M30" s="33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</row>
    <row r="31" spans="1:37" x14ac:dyDescent="0.2">
      <c r="A31" s="324"/>
      <c r="B31" s="201" t="s">
        <v>23</v>
      </c>
      <c r="C31" s="43">
        <v>-118.65000000000008</v>
      </c>
      <c r="D31" s="43">
        <v>-137.54999999999998</v>
      </c>
      <c r="E31" s="43">
        <v>-150.87000000000003</v>
      </c>
      <c r="F31" s="43">
        <v>-164.25000000000006</v>
      </c>
      <c r="G31" s="29"/>
      <c r="H31" s="53">
        <f>$C$114*-H29</f>
        <v>-268.05498000000011</v>
      </c>
      <c r="I31" s="54">
        <f>$C$114*-I29</f>
        <v>-292.17992820000023</v>
      </c>
      <c r="J31" s="54">
        <f>$C$114*-J29</f>
        <v>-318.47612173800019</v>
      </c>
      <c r="K31" s="54">
        <f>$C$114*-K29</f>
        <v>-347.13897269442026</v>
      </c>
      <c r="L31" s="218">
        <f>$C$114*-L29</f>
        <v>-378.38148023691832</v>
      </c>
      <c r="M31" s="335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</row>
    <row r="32" spans="1:37" x14ac:dyDescent="0.2">
      <c r="A32" s="324"/>
      <c r="B32" s="201"/>
      <c r="C32" s="29"/>
      <c r="D32" s="55"/>
      <c r="E32" s="55"/>
      <c r="F32" s="55"/>
      <c r="G32" s="29"/>
      <c r="H32" s="29"/>
      <c r="I32" s="40"/>
      <c r="J32" s="29"/>
      <c r="K32" s="29"/>
      <c r="L32" s="219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</row>
    <row r="33" spans="1:37" x14ac:dyDescent="0.2">
      <c r="A33" s="324"/>
      <c r="B33" s="201" t="s">
        <v>24</v>
      </c>
      <c r="C33" s="43"/>
      <c r="D33" s="43">
        <v>-85</v>
      </c>
      <c r="E33" s="43">
        <v>-42</v>
      </c>
      <c r="F33" s="43">
        <v>-180</v>
      </c>
      <c r="G33" s="29"/>
      <c r="H33" s="53">
        <f>-(H34*H9)</f>
        <v>-157.67940000000002</v>
      </c>
      <c r="I33" s="54">
        <f>-(I34*I9)</f>
        <v>-171.87054600000005</v>
      </c>
      <c r="J33" s="54">
        <f>-(J34*J9)</f>
        <v>-187.33889514000003</v>
      </c>
      <c r="K33" s="54">
        <f>-(K34*K9)</f>
        <v>-204.19939570260007</v>
      </c>
      <c r="L33" s="218">
        <f>-(L34*L9)</f>
        <v>-222.5773413158341</v>
      </c>
      <c r="M33" s="336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</row>
    <row r="34" spans="1:37" x14ac:dyDescent="0.2">
      <c r="A34" s="324"/>
      <c r="B34" s="199" t="s">
        <v>21</v>
      </c>
      <c r="C34" s="29"/>
      <c r="D34" s="13">
        <f>-D33/D9</f>
        <v>3.0730296456977585E-2</v>
      </c>
      <c r="E34" s="12">
        <f>-E33/E9</f>
        <v>1.0357583230579531E-2</v>
      </c>
      <c r="F34" s="13">
        <f>-F33/F9</f>
        <v>3.7328909166321027E-2</v>
      </c>
      <c r="G34" s="12"/>
      <c r="H34" s="56">
        <v>0.03</v>
      </c>
      <c r="I34" s="57">
        <v>0.03</v>
      </c>
      <c r="J34" s="57">
        <v>0.03</v>
      </c>
      <c r="K34" s="57">
        <v>0.03</v>
      </c>
      <c r="L34" s="220">
        <v>0.03</v>
      </c>
      <c r="M34" s="331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</row>
    <row r="35" spans="1:37" x14ac:dyDescent="0.2">
      <c r="A35" s="324"/>
      <c r="B35" s="201"/>
      <c r="C35" s="29"/>
      <c r="D35" s="40"/>
      <c r="E35" s="29"/>
      <c r="F35" s="40"/>
      <c r="G35" s="29"/>
      <c r="H35" s="29"/>
      <c r="I35" s="40"/>
      <c r="J35" s="29"/>
      <c r="K35" s="29"/>
      <c r="L35" s="219"/>
      <c r="M35" s="33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</row>
    <row r="36" spans="1:37" x14ac:dyDescent="0.2">
      <c r="A36" s="324"/>
      <c r="B36" s="221" t="s">
        <v>25</v>
      </c>
      <c r="C36" s="58"/>
      <c r="D36" s="59">
        <f>C70-D70</f>
        <v>-5</v>
      </c>
      <c r="E36" s="59">
        <f>D70-E70</f>
        <v>-1</v>
      </c>
      <c r="F36" s="59">
        <f>E70-F70</f>
        <v>8</v>
      </c>
      <c r="G36" s="60"/>
      <c r="H36" s="61">
        <f>F70-H70</f>
        <v>-29.62058962698957</v>
      </c>
      <c r="I36" s="59">
        <f>H70-I70</f>
        <v>-6.5358530664290697</v>
      </c>
      <c r="J36" s="59">
        <f>I70-J70</f>
        <v>-7.1240798424076957</v>
      </c>
      <c r="K36" s="59">
        <f>J70-K70</f>
        <v>-7.7652470282243797</v>
      </c>
      <c r="L36" s="222">
        <f>K70-L70</f>
        <v>-8.4641192607645479</v>
      </c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</row>
    <row r="37" spans="1:37" x14ac:dyDescent="0.2">
      <c r="A37" s="324"/>
      <c r="B37" s="201"/>
      <c r="C37" s="62"/>
      <c r="D37" s="63"/>
      <c r="E37" s="63"/>
      <c r="F37" s="28"/>
      <c r="G37" s="29"/>
      <c r="H37" s="62"/>
      <c r="I37" s="63"/>
      <c r="J37" s="63"/>
      <c r="K37" s="63"/>
      <c r="L37" s="223"/>
      <c r="M37" s="330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</row>
    <row r="38" spans="1:37" x14ac:dyDescent="0.2">
      <c r="A38" s="324"/>
      <c r="B38" s="224" t="s">
        <v>26</v>
      </c>
      <c r="C38" s="64"/>
      <c r="D38" s="65">
        <f>D24+D31+D33+D36</f>
        <v>52.249999999999972</v>
      </c>
      <c r="E38" s="65">
        <f>E24+E31+E33+E36</f>
        <v>372.63000000000045</v>
      </c>
      <c r="F38" s="66">
        <f>F24+F31+F33+F36</f>
        <v>322.35000000000031</v>
      </c>
      <c r="G38" s="67"/>
      <c r="H38" s="64">
        <f>H24+H31+H33+H36</f>
        <v>438.16163037301061</v>
      </c>
      <c r="I38" s="65">
        <f>I24+I31+I33+I36</f>
        <v>503.34676673357137</v>
      </c>
      <c r="J38" s="65">
        <f>J24+J31+J33+J36</f>
        <v>548.64797573959265</v>
      </c>
      <c r="K38" s="65">
        <f>K24+K31+K33+K36</f>
        <v>598.02629355615579</v>
      </c>
      <c r="L38" s="225">
        <f>L24+L31+L33+L36</f>
        <v>651.84865997621046</v>
      </c>
      <c r="M38" s="330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</row>
    <row r="39" spans="1:37" x14ac:dyDescent="0.2">
      <c r="A39" s="324"/>
      <c r="B39" s="201"/>
      <c r="C39" s="38"/>
      <c r="D39" s="39"/>
      <c r="E39" s="39"/>
      <c r="F39" s="40"/>
      <c r="G39" s="68"/>
      <c r="H39" s="29"/>
      <c r="I39" s="40"/>
      <c r="J39" s="29"/>
      <c r="K39" s="29"/>
      <c r="L39" s="219"/>
      <c r="M39" s="330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</row>
    <row r="40" spans="1:37" x14ac:dyDescent="0.2">
      <c r="A40" s="324"/>
      <c r="B40" s="201" t="s">
        <v>27</v>
      </c>
      <c r="C40" s="69">
        <f>C117</f>
        <v>0.12448879244482133</v>
      </c>
      <c r="D40" s="39"/>
      <c r="E40" s="39"/>
      <c r="F40" s="40"/>
      <c r="G40" s="68"/>
      <c r="H40" s="38"/>
      <c r="I40" s="40"/>
      <c r="J40" s="29"/>
      <c r="K40" s="29"/>
      <c r="L40" s="219"/>
      <c r="M40" s="335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</row>
    <row r="41" spans="1:37" x14ac:dyDescent="0.2">
      <c r="A41" s="324"/>
      <c r="B41" s="201" t="s">
        <v>28</v>
      </c>
      <c r="C41" s="38"/>
      <c r="D41" s="39"/>
      <c r="E41" s="39"/>
      <c r="F41" s="40"/>
      <c r="G41" s="68"/>
      <c r="H41" s="70">
        <v>1</v>
      </c>
      <c r="I41" s="71">
        <f>H41+1</f>
        <v>2</v>
      </c>
      <c r="J41" s="72">
        <f>I41+1</f>
        <v>3</v>
      </c>
      <c r="K41" s="72">
        <f>J41+1</f>
        <v>4</v>
      </c>
      <c r="L41" s="226">
        <f>K41+1</f>
        <v>5</v>
      </c>
      <c r="M41" s="330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</row>
    <row r="42" spans="1:37" x14ac:dyDescent="0.2">
      <c r="A42" s="324"/>
      <c r="B42" s="201" t="s">
        <v>29</v>
      </c>
      <c r="C42" s="38"/>
      <c r="D42" s="39"/>
      <c r="E42" s="39"/>
      <c r="F42" s="40"/>
      <c r="G42" s="68"/>
      <c r="H42" s="73">
        <f>1/((1+$C$40)^H41)</f>
        <v>0.88929298959559888</v>
      </c>
      <c r="I42" s="74">
        <f>1/((1+$C$40)^I41)</f>
        <v>0.79084202134387804</v>
      </c>
      <c r="J42" s="74">
        <f>1/((1+$C$40)^J41)</f>
        <v>0.70329026545872364</v>
      </c>
      <c r="K42" s="74">
        <f>1/((1+$C$40)^K41)</f>
        <v>0.62543110272327085</v>
      </c>
      <c r="L42" s="227">
        <f>1/((1+$C$40)^L41)</f>
        <v>0.55619149512684962</v>
      </c>
      <c r="M42" s="330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</row>
    <row r="43" spans="1:37" ht="15" thickBot="1" x14ac:dyDescent="0.25">
      <c r="A43" s="324"/>
      <c r="B43" s="298" t="s">
        <v>30</v>
      </c>
      <c r="C43" s="299"/>
      <c r="D43" s="299"/>
      <c r="E43" s="299"/>
      <c r="F43" s="300"/>
      <c r="G43" s="228"/>
      <c r="H43" s="229">
        <f>H42*H38</f>
        <v>389.65406620049635</v>
      </c>
      <c r="I43" s="230">
        <f>I42*I38</f>
        <v>398.06777444048305</v>
      </c>
      <c r="J43" s="230">
        <f>J42*J38</f>
        <v>385.85878050128946</v>
      </c>
      <c r="K43" s="230">
        <f>K42*K38</f>
        <v>374.02424423633698</v>
      </c>
      <c r="L43" s="231">
        <f>L42*L38</f>
        <v>362.55268078860189</v>
      </c>
      <c r="M43" s="330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</row>
    <row r="44" spans="1:37" ht="15.75" thickTop="1" thickBot="1" x14ac:dyDescent="0.25">
      <c r="A44" s="324"/>
      <c r="B44" s="349"/>
      <c r="C44" s="330"/>
      <c r="D44" s="330"/>
      <c r="E44" s="330"/>
      <c r="F44" s="330"/>
      <c r="G44" s="330"/>
      <c r="H44" s="332"/>
      <c r="I44" s="332"/>
      <c r="J44" s="332"/>
      <c r="K44" s="332"/>
      <c r="L44" s="332"/>
      <c r="M44" s="330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</row>
    <row r="45" spans="1:37" ht="15" thickTop="1" x14ac:dyDescent="0.2">
      <c r="A45" s="324"/>
      <c r="B45" s="232" t="s">
        <v>31</v>
      </c>
      <c r="C45" s="233"/>
      <c r="D45" s="330"/>
      <c r="E45" s="330"/>
      <c r="F45" s="330"/>
      <c r="G45" s="330"/>
      <c r="H45" s="332"/>
      <c r="I45" s="332"/>
      <c r="J45" s="332"/>
      <c r="K45" s="332"/>
      <c r="L45" s="332"/>
      <c r="M45" s="330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</row>
    <row r="46" spans="1:37" x14ac:dyDescent="0.2">
      <c r="A46" s="324"/>
      <c r="B46" s="234" t="s">
        <v>32</v>
      </c>
      <c r="C46" s="235">
        <f>L38</f>
        <v>651.84865997621046</v>
      </c>
      <c r="D46" s="330"/>
      <c r="E46" s="330"/>
      <c r="F46" s="330"/>
      <c r="G46" s="330"/>
      <c r="H46" s="332"/>
      <c r="I46" s="332"/>
      <c r="J46" s="332"/>
      <c r="K46" s="332"/>
      <c r="L46" s="332"/>
      <c r="M46" s="330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</row>
    <row r="47" spans="1:37" x14ac:dyDescent="0.2">
      <c r="A47" s="324"/>
      <c r="B47" s="161" t="s">
        <v>33</v>
      </c>
      <c r="C47" s="236">
        <v>0.02</v>
      </c>
      <c r="D47" s="330"/>
      <c r="E47" s="330"/>
      <c r="F47" s="330"/>
      <c r="G47" s="330"/>
      <c r="H47" s="332"/>
      <c r="I47" s="332"/>
      <c r="J47" s="332"/>
      <c r="K47" s="332"/>
      <c r="L47" s="332"/>
      <c r="M47" s="330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</row>
    <row r="48" spans="1:37" x14ac:dyDescent="0.2">
      <c r="A48" s="324"/>
      <c r="B48" s="234" t="s">
        <v>34</v>
      </c>
      <c r="C48" s="235">
        <f>L24</f>
        <v>1261.2716007897275</v>
      </c>
      <c r="D48" s="330"/>
      <c r="E48" s="330"/>
      <c r="F48" s="330"/>
      <c r="G48" s="330"/>
      <c r="H48" s="332"/>
      <c r="I48" s="332"/>
      <c r="J48" s="332"/>
      <c r="K48" s="332"/>
      <c r="L48" s="332"/>
      <c r="M48" s="330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4"/>
    </row>
    <row r="49" spans="1:37" x14ac:dyDescent="0.2">
      <c r="A49" s="324"/>
      <c r="B49" s="234" t="s">
        <v>35</v>
      </c>
      <c r="C49" s="235">
        <f>C46*(1+C47)/(C40-C47)</f>
        <v>6363.2243958302897</v>
      </c>
      <c r="D49" s="330"/>
      <c r="E49" s="330"/>
      <c r="F49" s="330"/>
      <c r="G49" s="330"/>
      <c r="H49" s="332"/>
      <c r="I49" s="332"/>
      <c r="J49" s="332"/>
      <c r="K49" s="332"/>
      <c r="L49" s="332"/>
      <c r="M49" s="330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</row>
    <row r="50" spans="1:37" x14ac:dyDescent="0.2">
      <c r="A50" s="324"/>
      <c r="B50" s="237" t="s">
        <v>36</v>
      </c>
      <c r="C50" s="238">
        <f>(C49*(1+C40)^H41)/C48</f>
        <v>5.6731432884419126</v>
      </c>
      <c r="D50" s="338"/>
      <c r="E50" s="338"/>
      <c r="F50" s="338"/>
      <c r="G50" s="338"/>
      <c r="M50" s="330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</row>
    <row r="51" spans="1:37" x14ac:dyDescent="0.2">
      <c r="A51" s="324"/>
      <c r="B51" s="234" t="s">
        <v>37</v>
      </c>
      <c r="C51" s="239">
        <f>IF(H41&lt;1,L41+H41,+K41+H41)</f>
        <v>5</v>
      </c>
      <c r="D51" s="338"/>
      <c r="E51" s="338"/>
      <c r="F51" s="338"/>
      <c r="G51" s="338"/>
      <c r="M51" s="330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</row>
    <row r="52" spans="1:37" x14ac:dyDescent="0.2">
      <c r="A52" s="324"/>
      <c r="B52" s="234" t="s">
        <v>38</v>
      </c>
      <c r="C52" s="239">
        <f>1/((1+$C$40)^C51)</f>
        <v>0.55619149512684962</v>
      </c>
      <c r="D52" s="338"/>
      <c r="E52" s="338"/>
      <c r="F52" s="338"/>
      <c r="G52" s="338"/>
      <c r="M52" s="330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</row>
    <row r="53" spans="1:37" x14ac:dyDescent="0.2">
      <c r="A53" s="324"/>
      <c r="B53" s="240" t="s">
        <v>39</v>
      </c>
      <c r="C53" s="241">
        <f>C49*C52</f>
        <v>3539.1712905444933</v>
      </c>
      <c r="D53" s="338"/>
      <c r="E53" s="338"/>
      <c r="F53" s="338"/>
      <c r="G53" s="338"/>
      <c r="M53" s="330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</row>
    <row r="54" spans="1:37" ht="24.75" thickBot="1" x14ac:dyDescent="0.25">
      <c r="A54" s="324"/>
      <c r="B54" s="242" t="s">
        <v>40</v>
      </c>
      <c r="C54" s="243">
        <f>C53/J107</f>
        <v>0.64946920925405971</v>
      </c>
      <c r="D54" s="338"/>
      <c r="E54" s="338"/>
      <c r="F54" s="338"/>
      <c r="G54" s="338"/>
      <c r="M54" s="330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</row>
    <row r="55" spans="1:37" ht="15.75" thickTop="1" thickBot="1" x14ac:dyDescent="0.25">
      <c r="A55" s="324"/>
      <c r="B55" s="350"/>
      <c r="C55" s="351"/>
      <c r="D55" s="338"/>
      <c r="E55" s="338"/>
      <c r="F55" s="338"/>
      <c r="G55" s="338"/>
      <c r="M55" s="330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</row>
    <row r="56" spans="1:37" ht="15" thickTop="1" x14ac:dyDescent="0.2">
      <c r="A56" s="324"/>
      <c r="B56" s="244" t="s">
        <v>1</v>
      </c>
      <c r="C56" s="301" t="s">
        <v>2</v>
      </c>
      <c r="D56" s="302"/>
      <c r="E56" s="302"/>
      <c r="F56" s="303"/>
      <c r="G56" s="245"/>
      <c r="H56" s="304" t="s">
        <v>4</v>
      </c>
      <c r="I56" s="305"/>
      <c r="J56" s="305"/>
      <c r="K56" s="305"/>
      <c r="L56" s="306"/>
      <c r="M56" s="330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</row>
    <row r="57" spans="1:37" x14ac:dyDescent="0.2">
      <c r="A57" s="324"/>
      <c r="B57" s="246" t="s">
        <v>41</v>
      </c>
      <c r="C57" s="77">
        <f>C8</f>
        <v>2014</v>
      </c>
      <c r="D57" s="78">
        <f>D8</f>
        <v>2015</v>
      </c>
      <c r="E57" s="78">
        <f>E8</f>
        <v>2016</v>
      </c>
      <c r="F57" s="79">
        <f>F8</f>
        <v>2017</v>
      </c>
      <c r="G57" s="80"/>
      <c r="H57" s="78">
        <f>H8</f>
        <v>2018</v>
      </c>
      <c r="I57" s="78">
        <f>I8</f>
        <v>2019</v>
      </c>
      <c r="J57" s="78">
        <f>J8</f>
        <v>2020</v>
      </c>
      <c r="K57" s="78">
        <f>K8</f>
        <v>2021</v>
      </c>
      <c r="L57" s="247">
        <f>L8</f>
        <v>2022</v>
      </c>
      <c r="M57" s="330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</row>
    <row r="58" spans="1:37" x14ac:dyDescent="0.2">
      <c r="A58" s="324"/>
      <c r="B58" s="234" t="s">
        <v>42</v>
      </c>
      <c r="C58" s="81">
        <v>30</v>
      </c>
      <c r="D58" s="81">
        <v>35</v>
      </c>
      <c r="E58" s="81">
        <v>36</v>
      </c>
      <c r="F58" s="81">
        <v>28</v>
      </c>
      <c r="G58" s="82"/>
      <c r="H58" s="82"/>
      <c r="I58" s="82"/>
      <c r="J58" s="83"/>
      <c r="K58" s="83"/>
      <c r="L58" s="235"/>
      <c r="M58" s="330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324"/>
      <c r="AJ58" s="324"/>
      <c r="AK58" s="324"/>
    </row>
    <row r="59" spans="1:37" x14ac:dyDescent="0.2">
      <c r="A59" s="324"/>
      <c r="B59" s="234" t="s">
        <v>43</v>
      </c>
      <c r="C59" s="81">
        <v>60</v>
      </c>
      <c r="D59" s="81">
        <v>60</v>
      </c>
      <c r="E59" s="81">
        <v>60</v>
      </c>
      <c r="F59" s="81">
        <v>60</v>
      </c>
      <c r="G59" s="82"/>
      <c r="H59" s="82"/>
      <c r="I59" s="82"/>
      <c r="J59" s="83"/>
      <c r="K59" s="83"/>
      <c r="L59" s="235"/>
      <c r="M59" s="330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</row>
    <row r="60" spans="1:37" x14ac:dyDescent="0.2">
      <c r="A60" s="324"/>
      <c r="B60" s="234" t="s">
        <v>44</v>
      </c>
      <c r="C60" s="81">
        <v>5</v>
      </c>
      <c r="D60" s="81">
        <v>5</v>
      </c>
      <c r="E60" s="81">
        <v>5</v>
      </c>
      <c r="F60" s="81">
        <v>5</v>
      </c>
      <c r="G60" s="82"/>
      <c r="H60" s="82"/>
      <c r="I60" s="82"/>
      <c r="J60" s="83"/>
      <c r="K60" s="83"/>
      <c r="L60" s="235"/>
      <c r="M60" s="330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</row>
    <row r="61" spans="1:37" x14ac:dyDescent="0.2">
      <c r="A61" s="324"/>
      <c r="B61" s="248" t="s">
        <v>45</v>
      </c>
      <c r="C61" s="76">
        <f>SUM(C58:C60)</f>
        <v>95</v>
      </c>
      <c r="D61" s="76">
        <f>SUM(D58:D60)</f>
        <v>100</v>
      </c>
      <c r="E61" s="76">
        <f>SUM(E58:E60)</f>
        <v>101</v>
      </c>
      <c r="F61" s="76">
        <f>SUM(F58:F60)</f>
        <v>93</v>
      </c>
      <c r="G61" s="82"/>
      <c r="H61" s="84">
        <f>H62*H9</f>
        <v>149.11622137816366</v>
      </c>
      <c r="I61" s="84">
        <f>I62*I9</f>
        <v>162.53668130219842</v>
      </c>
      <c r="J61" s="84">
        <f>J62*J9</f>
        <v>177.16498261939628</v>
      </c>
      <c r="K61" s="84">
        <f>K62*K9</f>
        <v>193.10983105514197</v>
      </c>
      <c r="L61" s="249">
        <f>L62*L9</f>
        <v>210.48971585010474</v>
      </c>
      <c r="M61" s="330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</row>
    <row r="62" spans="1:37" x14ac:dyDescent="0.2">
      <c r="A62" s="324"/>
      <c r="B62" s="250" t="s">
        <v>21</v>
      </c>
      <c r="C62" s="85">
        <f>C61/C9</f>
        <v>3.3135681897453785E-2</v>
      </c>
      <c r="D62" s="85">
        <f>D61/D9</f>
        <v>3.6153289949385395E-2</v>
      </c>
      <c r="E62" s="85">
        <f>E61/E9</f>
        <v>2.4907521578298397E-2</v>
      </c>
      <c r="F62" s="85">
        <f>F61/F9</f>
        <v>1.9286603069265863E-2</v>
      </c>
      <c r="G62" s="85"/>
      <c r="H62" s="86">
        <f>AVERAGE(C62:F62)</f>
        <v>2.837077412360086E-2</v>
      </c>
      <c r="I62" s="86">
        <f>H62</f>
        <v>2.837077412360086E-2</v>
      </c>
      <c r="J62" s="86">
        <f>I62</f>
        <v>2.837077412360086E-2</v>
      </c>
      <c r="K62" s="86">
        <f>J62</f>
        <v>2.837077412360086E-2</v>
      </c>
      <c r="L62" s="251">
        <f>K62</f>
        <v>2.837077412360086E-2</v>
      </c>
      <c r="M62" s="330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4"/>
      <c r="AH62" s="324"/>
      <c r="AI62" s="324"/>
      <c r="AJ62" s="324"/>
      <c r="AK62" s="324"/>
    </row>
    <row r="63" spans="1:37" x14ac:dyDescent="0.2">
      <c r="A63" s="324"/>
      <c r="B63" s="248"/>
      <c r="C63" s="75"/>
      <c r="D63" s="75"/>
      <c r="E63" s="75"/>
      <c r="F63" s="75"/>
      <c r="G63" s="82"/>
      <c r="H63" s="82"/>
      <c r="I63" s="82"/>
      <c r="J63" s="83"/>
      <c r="K63" s="83"/>
      <c r="L63" s="235"/>
      <c r="M63" s="330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4"/>
    </row>
    <row r="64" spans="1:37" x14ac:dyDescent="0.2">
      <c r="A64" s="324"/>
      <c r="B64" s="234" t="s">
        <v>46</v>
      </c>
      <c r="C64" s="87">
        <v>-30</v>
      </c>
      <c r="D64" s="87">
        <v>-30</v>
      </c>
      <c r="E64" s="87">
        <v>-30</v>
      </c>
      <c r="F64" s="87">
        <v>-30</v>
      </c>
      <c r="G64" s="82"/>
      <c r="H64" s="82"/>
      <c r="I64" s="82"/>
      <c r="J64" s="83"/>
      <c r="K64" s="83"/>
      <c r="L64" s="235"/>
      <c r="M64" s="337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</row>
    <row r="65" spans="1:37" x14ac:dyDescent="0.2">
      <c r="A65" s="324"/>
      <c r="B65" s="234" t="s">
        <v>47</v>
      </c>
      <c r="C65" s="88">
        <v>-10</v>
      </c>
      <c r="D65" s="88">
        <v>-10</v>
      </c>
      <c r="E65" s="88">
        <v>-10</v>
      </c>
      <c r="F65" s="88">
        <v>-10</v>
      </c>
      <c r="G65" s="82"/>
      <c r="H65" s="89"/>
      <c r="I65" s="89"/>
      <c r="J65" s="89"/>
      <c r="K65" s="89"/>
      <c r="L65" s="252"/>
      <c r="M65" s="337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</row>
    <row r="66" spans="1:37" x14ac:dyDescent="0.2">
      <c r="A66" s="324"/>
      <c r="B66" s="234" t="s">
        <v>48</v>
      </c>
      <c r="C66" s="88">
        <v>-10</v>
      </c>
      <c r="D66" s="88">
        <v>-10</v>
      </c>
      <c r="E66" s="88">
        <v>-10</v>
      </c>
      <c r="F66" s="88">
        <v>-10</v>
      </c>
      <c r="G66" s="82"/>
      <c r="H66" s="82"/>
      <c r="I66" s="82"/>
      <c r="J66" s="83"/>
      <c r="K66" s="83"/>
      <c r="L66" s="235"/>
      <c r="M66" s="330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</row>
    <row r="67" spans="1:37" x14ac:dyDescent="0.2">
      <c r="A67" s="324"/>
      <c r="B67" s="159" t="s">
        <v>49</v>
      </c>
      <c r="C67" s="90">
        <f>SUM(C64:C66)</f>
        <v>-50</v>
      </c>
      <c r="D67" s="90">
        <f>SUM(D64:D66)</f>
        <v>-50</v>
      </c>
      <c r="E67" s="90">
        <f>SUM(E64:E66)</f>
        <v>-50</v>
      </c>
      <c r="F67" s="90">
        <f>SUM(F64:F66)</f>
        <v>-50</v>
      </c>
      <c r="G67" s="82"/>
      <c r="H67" s="84">
        <f>-H68*H9</f>
        <v>-76.495631751174088</v>
      </c>
      <c r="I67" s="84">
        <f>-I68*I9</f>
        <v>-83.380238608779777</v>
      </c>
      <c r="J67" s="84">
        <f>-J68*J9</f>
        <v>-90.884460083569948</v>
      </c>
      <c r="K67" s="84">
        <f>-K68*K9</f>
        <v>-99.064061491091252</v>
      </c>
      <c r="L67" s="249">
        <f>-L68*L9</f>
        <v>-107.97982702528948</v>
      </c>
      <c r="M67" s="330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</row>
    <row r="68" spans="1:37" x14ac:dyDescent="0.2">
      <c r="A68" s="324"/>
      <c r="B68" s="250" t="s">
        <v>21</v>
      </c>
      <c r="C68" s="85">
        <f>-C67/C9</f>
        <v>1.7439832577607256E-2</v>
      </c>
      <c r="D68" s="85">
        <f>-D67/D9</f>
        <v>1.8076644974692697E-2</v>
      </c>
      <c r="E68" s="85">
        <f>-E67/E9</f>
        <v>1.2330456226880395E-2</v>
      </c>
      <c r="F68" s="85">
        <f>-F67/F9</f>
        <v>1.0369141435089175E-2</v>
      </c>
      <c r="G68" s="75"/>
      <c r="H68" s="86">
        <f>AVERAGE(C68:F68)</f>
        <v>1.4554018803567381E-2</v>
      </c>
      <c r="I68" s="86">
        <f>H68</f>
        <v>1.4554018803567381E-2</v>
      </c>
      <c r="J68" s="86">
        <f>I68</f>
        <v>1.4554018803567381E-2</v>
      </c>
      <c r="K68" s="86">
        <f>J68</f>
        <v>1.4554018803567381E-2</v>
      </c>
      <c r="L68" s="251">
        <f>K68</f>
        <v>1.4554018803567381E-2</v>
      </c>
      <c r="M68" s="330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</row>
    <row r="69" spans="1:37" x14ac:dyDescent="0.2">
      <c r="A69" s="324"/>
      <c r="B69" s="248"/>
      <c r="C69" s="91"/>
      <c r="D69" s="91"/>
      <c r="E69" s="91"/>
      <c r="F69" s="91"/>
      <c r="G69" s="75"/>
      <c r="H69" s="92"/>
      <c r="I69" s="92"/>
      <c r="J69" s="92"/>
      <c r="K69" s="92"/>
      <c r="L69" s="253"/>
      <c r="M69" s="330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</row>
    <row r="70" spans="1:37" x14ac:dyDescent="0.2">
      <c r="A70" s="324"/>
      <c r="B70" s="248" t="s">
        <v>50</v>
      </c>
      <c r="C70" s="93">
        <f>+C61+C67</f>
        <v>45</v>
      </c>
      <c r="D70" s="93">
        <f>+D61+D67</f>
        <v>50</v>
      </c>
      <c r="E70" s="93">
        <f>+E61+E67</f>
        <v>51</v>
      </c>
      <c r="F70" s="93">
        <f>+F61+F67</f>
        <v>43</v>
      </c>
      <c r="G70" s="94"/>
      <c r="H70" s="84">
        <f>H61+H67</f>
        <v>72.62058962698957</v>
      </c>
      <c r="I70" s="84">
        <f>I61+I67</f>
        <v>79.15644269341864</v>
      </c>
      <c r="J70" s="84">
        <f>J61+J67</f>
        <v>86.280522535826336</v>
      </c>
      <c r="K70" s="84">
        <f>K61+K67</f>
        <v>94.045769564050715</v>
      </c>
      <c r="L70" s="249">
        <f>L61+L67</f>
        <v>102.50988882481526</v>
      </c>
      <c r="M70" s="330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</row>
    <row r="71" spans="1:37" ht="15" thickBot="1" x14ac:dyDescent="0.25">
      <c r="A71" s="324"/>
      <c r="B71" s="254" t="s">
        <v>21</v>
      </c>
      <c r="C71" s="255">
        <f>C70/C9</f>
        <v>1.5695849319846529E-2</v>
      </c>
      <c r="D71" s="255">
        <f>D70/D9</f>
        <v>1.8076644974692697E-2</v>
      </c>
      <c r="E71" s="255">
        <f>E70/E9</f>
        <v>1.2577065351418002E-2</v>
      </c>
      <c r="F71" s="255">
        <f>F70/F9</f>
        <v>8.9174616341766901E-3</v>
      </c>
      <c r="G71" s="256"/>
      <c r="H71" s="257">
        <f>H70/H9</f>
        <v>1.3816755320033479E-2</v>
      </c>
      <c r="I71" s="257">
        <f>I70/I9</f>
        <v>1.3816755320033479E-2</v>
      </c>
      <c r="J71" s="257">
        <f>J70/J9</f>
        <v>1.3816755320033481E-2</v>
      </c>
      <c r="K71" s="257">
        <f>K70/K9</f>
        <v>1.3816755320033481E-2</v>
      </c>
      <c r="L71" s="258">
        <f>L70/L9</f>
        <v>1.3816755320033477E-2</v>
      </c>
      <c r="M71" s="330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  <c r="AK71" s="324"/>
    </row>
    <row r="72" spans="1:37" ht="15" thickTop="1" x14ac:dyDescent="0.2">
      <c r="A72" s="324"/>
      <c r="D72" s="338"/>
      <c r="E72" s="352"/>
      <c r="F72" s="338"/>
      <c r="G72" s="338"/>
      <c r="M72" s="330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4"/>
    </row>
    <row r="73" spans="1:37" ht="15" thickBot="1" x14ac:dyDescent="0.25">
      <c r="A73" s="324"/>
      <c r="D73" s="338"/>
      <c r="E73" s="352"/>
      <c r="F73" s="338"/>
      <c r="G73" s="338"/>
      <c r="M73" s="330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  <c r="AK73" s="324"/>
    </row>
    <row r="74" spans="1:37" ht="15" thickTop="1" x14ac:dyDescent="0.2">
      <c r="A74" s="324"/>
      <c r="B74" s="307" t="s">
        <v>51</v>
      </c>
      <c r="C74" s="308"/>
      <c r="D74" s="308"/>
      <c r="E74" s="308"/>
      <c r="F74" s="308"/>
      <c r="G74" s="308"/>
      <c r="H74" s="308"/>
      <c r="I74" s="309"/>
      <c r="M74" s="330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</row>
    <row r="75" spans="1:37" ht="60" x14ac:dyDescent="0.2">
      <c r="A75" s="324"/>
      <c r="B75" s="259" t="s">
        <v>52</v>
      </c>
      <c r="C75" s="137" t="s">
        <v>53</v>
      </c>
      <c r="D75" s="137" t="str">
        <f>+B86</f>
        <v>(2) Valor Contábil Endividamento Oneroso</v>
      </c>
      <c r="E75" s="137" t="s">
        <v>54</v>
      </c>
      <c r="F75" s="137" t="s">
        <v>55</v>
      </c>
      <c r="G75" s="137" t="s">
        <v>56</v>
      </c>
      <c r="H75" s="138" t="s">
        <v>57</v>
      </c>
      <c r="I75" s="260" t="s">
        <v>58</v>
      </c>
      <c r="M75" s="330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4"/>
    </row>
    <row r="76" spans="1:37" x14ac:dyDescent="0.2">
      <c r="A76" s="324"/>
      <c r="B76" s="261" t="s">
        <v>59</v>
      </c>
      <c r="C76" s="131">
        <v>1.2</v>
      </c>
      <c r="D76" s="95">
        <v>550</v>
      </c>
      <c r="E76" s="96">
        <v>1150</v>
      </c>
      <c r="F76" s="139">
        <f>D76/E76</f>
        <v>0.47826086956521741</v>
      </c>
      <c r="G76" s="139">
        <f>E76/(D76+E76)</f>
        <v>0.67647058823529416</v>
      </c>
      <c r="H76" s="140">
        <f>+C114</f>
        <v>0.34</v>
      </c>
      <c r="I76" s="262">
        <f>C76/(1+(F76)*(1-H76))</f>
        <v>0.91209517514871108</v>
      </c>
      <c r="M76" s="330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</row>
    <row r="77" spans="1:37" x14ac:dyDescent="0.2">
      <c r="A77" s="324"/>
      <c r="B77" s="261" t="s">
        <v>60</v>
      </c>
      <c r="C77" s="132">
        <v>1.28</v>
      </c>
      <c r="D77" s="97">
        <v>380</v>
      </c>
      <c r="E77" s="98">
        <v>880</v>
      </c>
      <c r="F77" s="139">
        <f>D77/E77</f>
        <v>0.43181818181818182</v>
      </c>
      <c r="G77" s="139">
        <f>E77/(D77+E77)</f>
        <v>0.69841269841269837</v>
      </c>
      <c r="H77" s="140">
        <f>+H76</f>
        <v>0.34</v>
      </c>
      <c r="I77" s="262">
        <f>C77/(1+(F77)*(1-H77))</f>
        <v>0.99610894941634254</v>
      </c>
      <c r="M77" s="330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</row>
    <row r="78" spans="1:37" x14ac:dyDescent="0.2">
      <c r="A78" s="324"/>
      <c r="B78" s="261" t="s">
        <v>61</v>
      </c>
      <c r="C78" s="132">
        <v>1.18</v>
      </c>
      <c r="D78" s="97">
        <v>460</v>
      </c>
      <c r="E78" s="98">
        <v>754</v>
      </c>
      <c r="F78" s="139">
        <f>D78/E78</f>
        <v>0.61007957559681703</v>
      </c>
      <c r="G78" s="139">
        <f>E78/(D78+E78)</f>
        <v>0.62108731466227352</v>
      </c>
      <c r="H78" s="140">
        <f>+H77</f>
        <v>0.34</v>
      </c>
      <c r="I78" s="262">
        <f>C78/(1+(F78)*(1-H78))</f>
        <v>0.84126323751891063</v>
      </c>
      <c r="M78" s="330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</row>
    <row r="79" spans="1:37" x14ac:dyDescent="0.2">
      <c r="A79" s="324"/>
      <c r="B79" s="261" t="s">
        <v>62</v>
      </c>
      <c r="C79" s="132">
        <v>1.1399999999999999</v>
      </c>
      <c r="D79" s="97">
        <v>370</v>
      </c>
      <c r="E79" s="98">
        <v>1150</v>
      </c>
      <c r="F79" s="139">
        <f>D79/E79</f>
        <v>0.32173913043478258</v>
      </c>
      <c r="G79" s="139">
        <f>E79/(D79+E79)</f>
        <v>0.75657894736842102</v>
      </c>
      <c r="H79" s="140">
        <f>+H78</f>
        <v>0.34</v>
      </c>
      <c r="I79" s="262">
        <f>C79/(1+(F79)*(1-H79))</f>
        <v>0.94032420025821262</v>
      </c>
      <c r="M79" s="330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</row>
    <row r="80" spans="1:37" x14ac:dyDescent="0.2">
      <c r="A80" s="324"/>
      <c r="B80" s="261" t="s">
        <v>63</v>
      </c>
      <c r="C80" s="132">
        <v>1.27</v>
      </c>
      <c r="D80" s="97">
        <v>260</v>
      </c>
      <c r="E80" s="98">
        <v>930</v>
      </c>
      <c r="F80" s="139">
        <f>D80/E80</f>
        <v>0.27956989247311825</v>
      </c>
      <c r="G80" s="139">
        <f>E80/(D80+E80)</f>
        <v>0.78151260504201681</v>
      </c>
      <c r="H80" s="140">
        <f>+H79</f>
        <v>0.34</v>
      </c>
      <c r="I80" s="262">
        <f>C80/(1+(F80)*(1-H80))</f>
        <v>1.0721677559912854</v>
      </c>
      <c r="M80" s="330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</row>
    <row r="81" spans="1:37" x14ac:dyDescent="0.2">
      <c r="A81" s="324"/>
      <c r="B81" s="263"/>
      <c r="C81" s="99"/>
      <c r="D81" s="99"/>
      <c r="E81" s="99"/>
      <c r="F81" s="99"/>
      <c r="G81" s="99"/>
      <c r="H81" s="99"/>
      <c r="I81" s="264"/>
      <c r="M81" s="330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</row>
    <row r="82" spans="1:37" x14ac:dyDescent="0.2">
      <c r="A82" s="324"/>
      <c r="B82" s="265" t="s">
        <v>64</v>
      </c>
      <c r="C82" s="141">
        <f>MEDIAN(C76:C80)</f>
        <v>1.2</v>
      </c>
      <c r="D82" s="141"/>
      <c r="E82" s="141"/>
      <c r="F82" s="142">
        <f>MEDIAN(F76:F80)</f>
        <v>0.43181818181818182</v>
      </c>
      <c r="G82" s="142">
        <f>MEDIAN(G76:G80)</f>
        <v>0.69841269841269837</v>
      </c>
      <c r="H82" s="143"/>
      <c r="I82" s="266">
        <f>MEDIAN(I76:I80)</f>
        <v>0.94032420025821262</v>
      </c>
      <c r="M82" s="330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  <c r="AJ82" s="324"/>
      <c r="AK82" s="324"/>
    </row>
    <row r="83" spans="1:37" x14ac:dyDescent="0.2">
      <c r="A83" s="324"/>
      <c r="B83" s="265" t="s">
        <v>65</v>
      </c>
      <c r="C83" s="141">
        <f>AVERAGE(C76:C80)</f>
        <v>1.214</v>
      </c>
      <c r="D83" s="141"/>
      <c r="E83" s="141"/>
      <c r="F83" s="142">
        <f>AVERAGE(F76:F80)</f>
        <v>0.42429352997762332</v>
      </c>
      <c r="G83" s="142">
        <f>AVERAGE(G76:G80)</f>
        <v>0.7068124307441408</v>
      </c>
      <c r="H83" s="143"/>
      <c r="I83" s="266">
        <f>AVERAGE(I76:I80)</f>
        <v>0.95239186366669237</v>
      </c>
      <c r="M83" s="330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</row>
    <row r="84" spans="1:37" x14ac:dyDescent="0.2">
      <c r="A84" s="324"/>
      <c r="B84" s="261"/>
      <c r="C84" s="144"/>
      <c r="D84" s="144"/>
      <c r="E84" s="144"/>
      <c r="F84" s="144"/>
      <c r="G84" s="144"/>
      <c r="H84" s="144"/>
      <c r="I84" s="267"/>
      <c r="M84" s="330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</row>
    <row r="85" spans="1:37" x14ac:dyDescent="0.2">
      <c r="A85" s="324"/>
      <c r="B85" s="175" t="s">
        <v>66</v>
      </c>
      <c r="C85" s="144"/>
      <c r="D85" s="144"/>
      <c r="E85" s="144"/>
      <c r="F85" s="144"/>
      <c r="G85" s="144"/>
      <c r="H85" s="144"/>
      <c r="I85" s="267"/>
      <c r="M85" s="330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</row>
    <row r="86" spans="1:37" x14ac:dyDescent="0.2">
      <c r="A86" s="324"/>
      <c r="B86" s="175" t="s">
        <v>67</v>
      </c>
      <c r="C86" s="144"/>
      <c r="D86" s="144"/>
      <c r="E86" s="144"/>
      <c r="F86" s="144"/>
      <c r="G86" s="144"/>
      <c r="H86" s="144"/>
      <c r="I86" s="267"/>
      <c r="M86" s="330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</row>
    <row r="87" spans="1:37" x14ac:dyDescent="0.2">
      <c r="A87" s="324"/>
      <c r="B87" s="175" t="s">
        <v>68</v>
      </c>
      <c r="C87" s="144"/>
      <c r="D87" s="144"/>
      <c r="E87" s="144"/>
      <c r="F87" s="144"/>
      <c r="G87" s="144"/>
      <c r="H87" s="144"/>
      <c r="I87" s="267"/>
      <c r="M87" s="330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</row>
    <row r="88" spans="1:37" x14ac:dyDescent="0.2">
      <c r="A88" s="324"/>
      <c r="B88" s="175" t="s">
        <v>69</v>
      </c>
      <c r="C88" s="144"/>
      <c r="D88" s="144"/>
      <c r="E88" s="144"/>
      <c r="F88" s="144"/>
      <c r="G88" s="144"/>
      <c r="H88" s="144"/>
      <c r="I88" s="267"/>
      <c r="M88" s="330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</row>
    <row r="89" spans="1:37" x14ac:dyDescent="0.2">
      <c r="A89" s="324"/>
      <c r="B89" s="268"/>
      <c r="C89" s="145"/>
      <c r="D89" s="145"/>
      <c r="E89" s="145"/>
      <c r="F89" s="145"/>
      <c r="G89" s="145"/>
      <c r="H89" s="145"/>
      <c r="I89" s="269"/>
      <c r="M89" s="330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</row>
    <row r="90" spans="1:37" ht="48" x14ac:dyDescent="0.2">
      <c r="A90" s="324"/>
      <c r="B90" s="270" t="s">
        <v>70</v>
      </c>
      <c r="C90" s="134"/>
      <c r="D90" s="135" t="s">
        <v>71</v>
      </c>
      <c r="E90" s="135" t="s">
        <v>72</v>
      </c>
      <c r="F90" s="135" t="s">
        <v>73</v>
      </c>
      <c r="G90" s="136" t="s">
        <v>70</v>
      </c>
      <c r="H90" s="271"/>
      <c r="I90" s="267"/>
      <c r="M90" s="330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</row>
    <row r="91" spans="1:37" ht="15" thickBot="1" x14ac:dyDescent="0.25">
      <c r="A91" s="324"/>
      <c r="B91" s="272" t="s">
        <v>74</v>
      </c>
      <c r="C91" s="273"/>
      <c r="D91" s="274">
        <f>I83</f>
        <v>0.95239186366669237</v>
      </c>
      <c r="E91" s="275">
        <f>F83</f>
        <v>0.42429352997762332</v>
      </c>
      <c r="F91" s="276">
        <f>+C114</f>
        <v>0.34</v>
      </c>
      <c r="G91" s="277">
        <f>D91*(1+(E91)*(1-F91))</f>
        <v>1.2190937094663838</v>
      </c>
      <c r="H91" s="273"/>
      <c r="I91" s="278"/>
      <c r="M91" s="330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</row>
    <row r="92" spans="1:37" ht="15" thickTop="1" x14ac:dyDescent="0.2">
      <c r="A92" s="324"/>
      <c r="D92" s="338"/>
      <c r="E92" s="352"/>
      <c r="F92" s="338"/>
      <c r="G92" s="338"/>
      <c r="M92" s="330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</row>
    <row r="93" spans="1:37" x14ac:dyDescent="0.2">
      <c r="A93" s="324"/>
      <c r="D93" s="338"/>
      <c r="E93" s="352"/>
      <c r="F93" s="338"/>
      <c r="G93" s="338"/>
      <c r="M93" s="330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</row>
    <row r="94" spans="1:37" x14ac:dyDescent="0.2">
      <c r="A94" s="324"/>
      <c r="D94" s="338"/>
      <c r="E94" s="352"/>
      <c r="F94" s="338"/>
      <c r="G94" s="338"/>
      <c r="M94" s="330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</row>
    <row r="95" spans="1:37" ht="15" thickBot="1" x14ac:dyDescent="0.25">
      <c r="D95" s="338"/>
      <c r="E95" s="352"/>
      <c r="F95" s="338"/>
      <c r="G95" s="338"/>
    </row>
    <row r="96" spans="1:37" ht="15" thickTop="1" x14ac:dyDescent="0.2">
      <c r="B96" s="310" t="str">
        <f>+B6</f>
        <v>Modelo de Fluxo de Caixa Descontado</v>
      </c>
      <c r="C96" s="311"/>
      <c r="D96" s="311"/>
      <c r="E96" s="311"/>
      <c r="F96" s="311"/>
      <c r="G96" s="311"/>
      <c r="H96" s="311"/>
      <c r="I96" s="311"/>
      <c r="J96" s="312"/>
    </row>
    <row r="97" spans="2:13" x14ac:dyDescent="0.2">
      <c r="B97" s="155"/>
      <c r="C97" s="100"/>
      <c r="D97" s="50"/>
      <c r="E97" s="101"/>
      <c r="F97" s="101"/>
      <c r="G97" s="102"/>
      <c r="H97" s="102"/>
      <c r="I97" s="102"/>
      <c r="J97" s="156"/>
    </row>
    <row r="98" spans="2:13" x14ac:dyDescent="0.2">
      <c r="B98" s="313" t="s">
        <v>75</v>
      </c>
      <c r="C98" s="314"/>
      <c r="D98" s="50"/>
      <c r="E98" s="315" t="s">
        <v>76</v>
      </c>
      <c r="F98" s="315"/>
      <c r="G98" s="315"/>
      <c r="H98" s="315"/>
      <c r="I98" s="315"/>
      <c r="J98" s="316"/>
    </row>
    <row r="99" spans="2:13" x14ac:dyDescent="0.2">
      <c r="B99" s="157" t="s">
        <v>77</v>
      </c>
      <c r="C99" s="146"/>
      <c r="D99" s="50"/>
      <c r="E99" s="103" t="s">
        <v>78</v>
      </c>
      <c r="F99" s="147"/>
      <c r="G99" s="148"/>
      <c r="H99" s="148"/>
      <c r="I99" s="148"/>
      <c r="J99" s="158"/>
    </row>
    <row r="100" spans="2:13" x14ac:dyDescent="0.2">
      <c r="B100" s="159" t="s">
        <v>79</v>
      </c>
      <c r="C100" s="149"/>
      <c r="D100" s="50"/>
      <c r="E100" s="104" t="s">
        <v>80</v>
      </c>
      <c r="F100" s="11"/>
      <c r="G100" s="75"/>
      <c r="H100" s="75"/>
      <c r="I100" s="75"/>
      <c r="J100" s="160">
        <f>SUM(H43:L43)</f>
        <v>1910.1575461672078</v>
      </c>
      <c r="M100" s="338"/>
    </row>
    <row r="101" spans="2:13" x14ac:dyDescent="0.2">
      <c r="B101" s="161" t="s">
        <v>81</v>
      </c>
      <c r="C101" s="150">
        <f>1-C102</f>
        <v>0.2931875692558592</v>
      </c>
      <c r="D101" s="50"/>
      <c r="E101" s="105"/>
      <c r="F101" s="11"/>
      <c r="G101" s="75"/>
      <c r="H101" s="75"/>
      <c r="I101" s="75"/>
      <c r="J101" s="162"/>
      <c r="M101" s="338"/>
    </row>
    <row r="102" spans="2:13" x14ac:dyDescent="0.2">
      <c r="B102" s="161" t="s">
        <v>82</v>
      </c>
      <c r="C102" s="150">
        <f>G83</f>
        <v>0.7068124307441408</v>
      </c>
      <c r="D102" s="50"/>
      <c r="E102" s="105" t="str">
        <f>+B49</f>
        <v>Valor da Perpetuidade</v>
      </c>
      <c r="F102" s="11"/>
      <c r="G102" s="75"/>
      <c r="H102" s="75"/>
      <c r="I102" s="75"/>
      <c r="J102" s="160">
        <f>C49</f>
        <v>6363.2243958302897</v>
      </c>
      <c r="M102" s="338"/>
    </row>
    <row r="103" spans="2:13" x14ac:dyDescent="0.2">
      <c r="B103" s="161" t="s">
        <v>83</v>
      </c>
      <c r="C103" s="150">
        <f>+F83</f>
        <v>0.42429352997762332</v>
      </c>
      <c r="D103" s="50"/>
      <c r="E103" s="104" t="str">
        <f>+B52</f>
        <v>Fator de desconto</v>
      </c>
      <c r="F103" s="11"/>
      <c r="G103" s="75"/>
      <c r="H103" s="75"/>
      <c r="I103" s="75"/>
      <c r="J103" s="163">
        <f>C52</f>
        <v>0.55619149512684962</v>
      </c>
      <c r="M103" s="338"/>
    </row>
    <row r="104" spans="2:13" x14ac:dyDescent="0.2">
      <c r="B104" s="161"/>
      <c r="C104" s="149"/>
      <c r="D104" s="50"/>
      <c r="E104" s="105" t="str">
        <f>+B53</f>
        <v>Valor Presente da Perpetuidade</v>
      </c>
      <c r="F104" s="11"/>
      <c r="G104" s="75"/>
      <c r="H104" s="75"/>
      <c r="I104" s="75"/>
      <c r="J104" s="162">
        <f>C53</f>
        <v>3539.1712905444933</v>
      </c>
      <c r="M104" s="338"/>
    </row>
    <row r="105" spans="2:13" x14ac:dyDescent="0.2">
      <c r="B105" s="164" t="s">
        <v>84</v>
      </c>
      <c r="C105" s="149"/>
      <c r="D105" s="50"/>
      <c r="E105" s="106" t="str">
        <f>+B54</f>
        <v>% Participação da Perpetuidade no Valor da Empresa</v>
      </c>
      <c r="F105" s="11"/>
      <c r="G105" s="75"/>
      <c r="H105" s="75"/>
      <c r="I105" s="75"/>
      <c r="J105" s="165">
        <f>J104/J107</f>
        <v>0.64946920925405971</v>
      </c>
      <c r="M105" s="338"/>
    </row>
    <row r="106" spans="2:13" x14ac:dyDescent="0.2">
      <c r="B106" s="161" t="s">
        <v>85</v>
      </c>
      <c r="C106" s="107">
        <v>0.05</v>
      </c>
      <c r="D106" s="50"/>
      <c r="E106" s="108"/>
      <c r="F106" s="109"/>
      <c r="G106" s="110"/>
      <c r="H106" s="110"/>
      <c r="I106" s="110"/>
      <c r="J106" s="166"/>
      <c r="M106" s="338"/>
    </row>
    <row r="107" spans="2:13" x14ac:dyDescent="0.2">
      <c r="B107" s="161" t="s">
        <v>86</v>
      </c>
      <c r="C107" s="107">
        <v>7.4999999999999997E-2</v>
      </c>
      <c r="D107" s="50"/>
      <c r="E107" s="111" t="s">
        <v>87</v>
      </c>
      <c r="F107" s="11"/>
      <c r="G107" s="10"/>
      <c r="H107" s="50"/>
      <c r="I107" s="50"/>
      <c r="J107" s="162">
        <f>SUM(H43:L43)+C53</f>
        <v>5449.3288367117011</v>
      </c>
      <c r="M107" s="338"/>
    </row>
    <row r="108" spans="2:13" x14ac:dyDescent="0.2">
      <c r="B108" s="161" t="s">
        <v>88</v>
      </c>
      <c r="C108" s="151">
        <f>G91</f>
        <v>1.2190937094663838</v>
      </c>
      <c r="D108" s="50"/>
      <c r="E108" s="112" t="s">
        <v>89</v>
      </c>
      <c r="F108" s="11"/>
      <c r="G108" s="11"/>
      <c r="H108" s="11"/>
      <c r="I108" s="11"/>
      <c r="J108" s="167">
        <v>300</v>
      </c>
      <c r="M108" s="338"/>
    </row>
    <row r="109" spans="2:13" x14ac:dyDescent="0.2">
      <c r="B109" s="161" t="s">
        <v>90</v>
      </c>
      <c r="C109" s="113">
        <v>1.6899999999999998E-2</v>
      </c>
      <c r="D109" s="50"/>
      <c r="E109" s="112" t="s">
        <v>91</v>
      </c>
      <c r="F109" s="11"/>
      <c r="G109" s="11"/>
      <c r="H109" s="11"/>
      <c r="I109" s="11"/>
      <c r="J109" s="167">
        <v>200</v>
      </c>
      <c r="M109" s="338"/>
    </row>
    <row r="110" spans="2:13" x14ac:dyDescent="0.2">
      <c r="B110" s="164" t="s">
        <v>92</v>
      </c>
      <c r="C110" s="114">
        <f>C106+(C108*C107)+C109</f>
        <v>0.1583320282099788</v>
      </c>
      <c r="D110" s="50"/>
      <c r="E110" s="112" t="s">
        <v>93</v>
      </c>
      <c r="F110" s="11"/>
      <c r="G110" s="11"/>
      <c r="H110" s="11"/>
      <c r="I110" s="11"/>
      <c r="J110" s="160">
        <f>J108-J109</f>
        <v>100</v>
      </c>
      <c r="M110" s="338"/>
    </row>
    <row r="111" spans="2:13" x14ac:dyDescent="0.2">
      <c r="B111" s="168"/>
      <c r="C111" s="152"/>
      <c r="D111" s="50"/>
      <c r="E111" s="115"/>
      <c r="F111" s="109"/>
      <c r="G111" s="109"/>
      <c r="H111" s="109"/>
      <c r="I111" s="109"/>
      <c r="J111" s="169"/>
      <c r="M111" s="338"/>
    </row>
    <row r="112" spans="2:13" x14ac:dyDescent="0.2">
      <c r="B112" s="159" t="s">
        <v>94</v>
      </c>
      <c r="C112" s="152"/>
      <c r="D112" s="50"/>
      <c r="E112" s="111" t="s">
        <v>95</v>
      </c>
      <c r="F112" s="11"/>
      <c r="G112" s="11"/>
      <c r="H112" s="11"/>
      <c r="I112" s="11"/>
      <c r="J112" s="162">
        <f>J107-J110</f>
        <v>5349.3288367117011</v>
      </c>
      <c r="M112" s="338"/>
    </row>
    <row r="113" spans="2:13" x14ac:dyDescent="0.2">
      <c r="B113" s="161" t="s">
        <v>96</v>
      </c>
      <c r="C113" s="116">
        <v>6.5000000000000002E-2</v>
      </c>
      <c r="D113" s="50"/>
      <c r="E113" s="115" t="s">
        <v>97</v>
      </c>
      <c r="F113" s="109"/>
      <c r="G113" s="109"/>
      <c r="H113" s="109"/>
      <c r="I113" s="109"/>
      <c r="J113" s="170">
        <v>10000</v>
      </c>
      <c r="M113" s="338"/>
    </row>
    <row r="114" spans="2:13" x14ac:dyDescent="0.2">
      <c r="B114" s="161" t="s">
        <v>57</v>
      </c>
      <c r="C114" s="116">
        <v>0.34</v>
      </c>
      <c r="D114" s="50"/>
      <c r="E114" s="117" t="s">
        <v>98</v>
      </c>
      <c r="F114" s="11"/>
      <c r="G114" s="11"/>
      <c r="H114" s="11"/>
      <c r="I114" s="11"/>
      <c r="J114" s="171">
        <f>J112/J113</f>
        <v>0.53493288367117009</v>
      </c>
    </row>
    <row r="115" spans="2:13" ht="24.75" thickBot="1" x14ac:dyDescent="0.25">
      <c r="B115" s="159" t="s">
        <v>99</v>
      </c>
      <c r="C115" s="118">
        <f>C113*(1-C114)</f>
        <v>4.2899999999999994E-2</v>
      </c>
      <c r="D115" s="50"/>
      <c r="E115" s="119"/>
      <c r="F115" s="11"/>
      <c r="G115" s="11"/>
      <c r="H115" s="11"/>
      <c r="I115" s="11"/>
      <c r="J115" s="172"/>
      <c r="M115" s="338"/>
    </row>
    <row r="116" spans="2:13" ht="15" thickBot="1" x14ac:dyDescent="0.25">
      <c r="B116" s="161"/>
      <c r="C116" s="149"/>
      <c r="D116" s="50"/>
      <c r="E116" s="120" t="s">
        <v>100</v>
      </c>
      <c r="F116" s="121"/>
      <c r="G116" s="121"/>
      <c r="H116" s="121"/>
      <c r="I116" s="121"/>
      <c r="J116" s="173"/>
    </row>
    <row r="117" spans="2:13" x14ac:dyDescent="0.2">
      <c r="B117" s="159" t="s">
        <v>27</v>
      </c>
      <c r="C117" s="118">
        <f>(C115*C101)+(C110*C102)</f>
        <v>0.12448879244482133</v>
      </c>
      <c r="D117" s="11"/>
      <c r="E117" s="119" t="str">
        <f>+E107</f>
        <v>Valor da Empresa</v>
      </c>
      <c r="F117" s="50"/>
      <c r="G117" s="11"/>
      <c r="H117" s="11"/>
      <c r="I117" s="11"/>
      <c r="J117" s="174">
        <f>J107</f>
        <v>5449.3288367117011</v>
      </c>
    </row>
    <row r="118" spans="2:13" x14ac:dyDescent="0.2">
      <c r="B118" s="159"/>
      <c r="C118" s="123"/>
      <c r="D118" s="11"/>
      <c r="E118" s="119" t="str">
        <f>"Faturamento " &amp;  H8</f>
        <v>Faturamento 2018</v>
      </c>
      <c r="F118" s="11"/>
      <c r="G118" s="11"/>
      <c r="H118" s="11"/>
      <c r="I118" s="11"/>
      <c r="J118" s="174">
        <f>H9</f>
        <v>5255.9800000000005</v>
      </c>
      <c r="M118" s="338"/>
    </row>
    <row r="119" spans="2:13" x14ac:dyDescent="0.2">
      <c r="B119" s="175" t="s">
        <v>101</v>
      </c>
      <c r="C119" s="153"/>
      <c r="D119" s="11"/>
      <c r="E119" s="119" t="str">
        <f>"EBITDA " &amp;  H8</f>
        <v>EBITDA 2018</v>
      </c>
      <c r="F119" s="109"/>
      <c r="G119" s="109"/>
      <c r="H119" s="109"/>
      <c r="I119" s="109"/>
      <c r="J119" s="176">
        <f>H24</f>
        <v>893.51660000000027</v>
      </c>
      <c r="M119" s="338"/>
    </row>
    <row r="120" spans="2:13" x14ac:dyDescent="0.2">
      <c r="B120" s="175" t="s">
        <v>102</v>
      </c>
      <c r="C120" s="123"/>
      <c r="D120" s="11"/>
      <c r="E120" s="124" t="s">
        <v>103</v>
      </c>
      <c r="F120" s="11"/>
      <c r="G120" s="11"/>
      <c r="H120" s="11"/>
      <c r="I120" s="11"/>
      <c r="J120" s="177">
        <f>J117/J118</f>
        <v>1.0367864483334603</v>
      </c>
      <c r="M120" s="338"/>
    </row>
    <row r="121" spans="2:13" x14ac:dyDescent="0.2">
      <c r="B121" s="175" t="s">
        <v>104</v>
      </c>
      <c r="C121" s="123"/>
      <c r="D121" s="11"/>
      <c r="E121" s="124" t="s">
        <v>105</v>
      </c>
      <c r="F121" s="11"/>
      <c r="G121" s="75"/>
      <c r="H121" s="11"/>
      <c r="I121" s="11"/>
      <c r="J121" s="177">
        <f>J117/J119</f>
        <v>6.0987438137262355</v>
      </c>
      <c r="M121" s="338"/>
    </row>
    <row r="122" spans="2:13" x14ac:dyDescent="0.2">
      <c r="B122" s="175" t="s">
        <v>106</v>
      </c>
      <c r="C122" s="123"/>
      <c r="D122" s="11"/>
      <c r="E122" s="11"/>
      <c r="F122" s="11"/>
      <c r="G122" s="154"/>
      <c r="H122" s="154"/>
      <c r="I122" s="154"/>
      <c r="J122" s="178"/>
      <c r="M122" s="338"/>
    </row>
    <row r="123" spans="2:13" ht="15" thickBot="1" x14ac:dyDescent="0.25">
      <c r="B123" s="179" t="s">
        <v>107</v>
      </c>
      <c r="C123" s="180"/>
      <c r="D123" s="180"/>
      <c r="E123" s="180"/>
      <c r="F123" s="180"/>
      <c r="G123" s="181"/>
      <c r="H123" s="180"/>
      <c r="I123" s="180"/>
      <c r="J123" s="182"/>
      <c r="M123" s="338"/>
    </row>
    <row r="124" spans="2:13" ht="15" thickTop="1" x14ac:dyDescent="0.2">
      <c r="B124" s="348"/>
      <c r="C124" s="324"/>
      <c r="D124" s="324"/>
      <c r="E124" s="324"/>
      <c r="F124" s="324"/>
      <c r="G124" s="342"/>
      <c r="M124" s="338"/>
    </row>
    <row r="125" spans="2:13" ht="15" thickBot="1" x14ac:dyDescent="0.25">
      <c r="M125" s="338"/>
    </row>
    <row r="126" spans="2:13" ht="15" thickTop="1" x14ac:dyDescent="0.2">
      <c r="B126" s="283" t="s">
        <v>0</v>
      </c>
      <c r="C126" s="284"/>
      <c r="D126" s="284"/>
      <c r="E126" s="284"/>
      <c r="F126" s="284"/>
      <c r="G126" s="284"/>
      <c r="H126" s="285"/>
      <c r="M126" s="338"/>
    </row>
    <row r="127" spans="2:13" x14ac:dyDescent="0.2">
      <c r="B127" s="286" t="s">
        <v>108</v>
      </c>
      <c r="C127" s="287"/>
      <c r="D127" s="287"/>
      <c r="E127" s="287"/>
      <c r="F127" s="287"/>
      <c r="G127" s="287"/>
      <c r="H127" s="288"/>
      <c r="M127" s="338"/>
    </row>
    <row r="128" spans="2:13" x14ac:dyDescent="0.2">
      <c r="B128" s="183"/>
      <c r="C128" s="184"/>
      <c r="D128" s="279" t="s">
        <v>109</v>
      </c>
      <c r="E128" s="279"/>
      <c r="F128" s="279"/>
      <c r="G128" s="279"/>
      <c r="H128" s="280"/>
      <c r="M128" s="338"/>
    </row>
    <row r="129" spans="2:13" x14ac:dyDescent="0.2">
      <c r="B129" s="185">
        <f>J107</f>
        <v>5449.3288367117011</v>
      </c>
      <c r="C129" s="186">
        <f>J107</f>
        <v>5449.3288367117011</v>
      </c>
      <c r="D129" s="125">
        <f>E129-0.005</f>
        <v>9.9999999999999985E-3</v>
      </c>
      <c r="E129" s="125">
        <f>F129-0.005</f>
        <v>1.4999999999999999E-2</v>
      </c>
      <c r="F129" s="127">
        <f>+C47</f>
        <v>0.02</v>
      </c>
      <c r="G129" s="125">
        <f>F129+0.005</f>
        <v>2.5000000000000001E-2</v>
      </c>
      <c r="H129" s="187">
        <f>G129+0.005</f>
        <v>3.0000000000000002E-2</v>
      </c>
    </row>
    <row r="130" spans="2:13" x14ac:dyDescent="0.2">
      <c r="B130" s="281" t="s">
        <v>27</v>
      </c>
      <c r="C130" s="125">
        <f>C131-0.01</f>
        <v>0.10448879244482134</v>
      </c>
      <c r="D130" s="122">
        <v>6554.263950788687</v>
      </c>
      <c r="E130" s="122">
        <v>6272.0810263957464</v>
      </c>
      <c r="F130" s="122">
        <v>6272.0810263957464</v>
      </c>
      <c r="G130" s="122">
        <v>6554.263950788687</v>
      </c>
      <c r="H130" s="174">
        <v>7233.7947725256745</v>
      </c>
    </row>
    <row r="131" spans="2:13" x14ac:dyDescent="0.2">
      <c r="B131" s="281"/>
      <c r="C131" s="125">
        <f>C132-0.01</f>
        <v>0.11448879244482134</v>
      </c>
      <c r="D131" s="122">
        <v>7482.4918855612777</v>
      </c>
      <c r="E131" s="126">
        <v>7107.5595647495793</v>
      </c>
      <c r="F131" s="126">
        <v>7107.5595647495793</v>
      </c>
      <c r="G131" s="126">
        <v>7482.4918855612777</v>
      </c>
      <c r="H131" s="174">
        <v>8409.4690250469466</v>
      </c>
    </row>
    <row r="132" spans="2:13" x14ac:dyDescent="0.2">
      <c r="B132" s="281"/>
      <c r="C132" s="127">
        <f>+C117</f>
        <v>0.12448879244482133</v>
      </c>
      <c r="D132" s="128">
        <v>7482.4918855612777</v>
      </c>
      <c r="E132" s="126">
        <v>7107.5595647495793</v>
      </c>
      <c r="F132" s="129">
        <v>7107.5595647495793</v>
      </c>
      <c r="G132" s="126">
        <v>7482.4918855612777</v>
      </c>
      <c r="H132" s="188">
        <v>8409.4690250469466</v>
      </c>
    </row>
    <row r="133" spans="2:13" x14ac:dyDescent="0.2">
      <c r="B133" s="281"/>
      <c r="C133" s="125">
        <f>C132+0.01</f>
        <v>0.13448879244482134</v>
      </c>
      <c r="D133" s="122">
        <v>6554.263950788687</v>
      </c>
      <c r="E133" s="126">
        <v>6272.0810263957464</v>
      </c>
      <c r="F133" s="126">
        <v>6272.0810263957464</v>
      </c>
      <c r="G133" s="126">
        <v>6554.263950788687</v>
      </c>
      <c r="H133" s="174">
        <v>7233.7947725256745</v>
      </c>
    </row>
    <row r="134" spans="2:13" ht="15" thickBot="1" x14ac:dyDescent="0.25">
      <c r="B134" s="282"/>
      <c r="C134" s="189">
        <f>C133+0.01</f>
        <v>0.14448879244482135</v>
      </c>
      <c r="D134" s="190">
        <v>5238.5502499846543</v>
      </c>
      <c r="E134" s="190">
        <v>5065.8395828905414</v>
      </c>
      <c r="F134" s="190">
        <v>5065.8395828905414</v>
      </c>
      <c r="G134" s="190">
        <v>5238.5502499846543</v>
      </c>
      <c r="H134" s="191">
        <v>5639.3823345716846</v>
      </c>
    </row>
    <row r="135" spans="2:13" ht="15.75" thickTop="1" thickBot="1" x14ac:dyDescent="0.25">
      <c r="B135" s="133"/>
      <c r="C135" s="133"/>
      <c r="D135" s="133"/>
      <c r="E135" s="133"/>
      <c r="F135" s="133"/>
      <c r="G135" s="133"/>
      <c r="H135" s="133"/>
    </row>
    <row r="136" spans="2:13" ht="15" thickTop="1" x14ac:dyDescent="0.2">
      <c r="B136" s="283" t="s">
        <v>0</v>
      </c>
      <c r="C136" s="284"/>
      <c r="D136" s="284"/>
      <c r="E136" s="284"/>
      <c r="F136" s="284"/>
      <c r="G136" s="284"/>
      <c r="H136" s="285"/>
      <c r="M136" s="338"/>
    </row>
    <row r="137" spans="2:13" x14ac:dyDescent="0.2">
      <c r="B137" s="183"/>
      <c r="C137" s="184"/>
      <c r="D137" s="279" t="s">
        <v>110</v>
      </c>
      <c r="E137" s="279"/>
      <c r="F137" s="279"/>
      <c r="G137" s="279"/>
      <c r="H137" s="280"/>
    </row>
    <row r="138" spans="2:13" x14ac:dyDescent="0.2">
      <c r="B138" s="192">
        <f>((1+H10)*(1+I10)*(1+L10)*(1+J10)*(1+K10))^(1/5)-1</f>
        <v>9.000000000000008E-2</v>
      </c>
      <c r="C138" s="193">
        <f>J107</f>
        <v>5449.3288367117011</v>
      </c>
      <c r="D138" s="125">
        <f>E138-0.005</f>
        <v>8.0000000000000071E-2</v>
      </c>
      <c r="E138" s="125">
        <f>F138-0.005</f>
        <v>8.5000000000000075E-2</v>
      </c>
      <c r="F138" s="127">
        <f>+B138</f>
        <v>9.000000000000008E-2</v>
      </c>
      <c r="G138" s="125">
        <f>F138+0.005</f>
        <v>9.5000000000000084E-2</v>
      </c>
      <c r="H138" s="187">
        <f>G138+0.005</f>
        <v>0.10000000000000009</v>
      </c>
    </row>
    <row r="139" spans="2:13" x14ac:dyDescent="0.2">
      <c r="B139" s="281" t="s">
        <v>111</v>
      </c>
      <c r="C139" s="125">
        <f>C140-0.01</f>
        <v>0.15000000000000011</v>
      </c>
      <c r="D139" s="122">
        <v>5587.5233936391742</v>
      </c>
      <c r="E139" s="122">
        <v>5603.0424470842972</v>
      </c>
      <c r="F139" s="122">
        <v>5632.0954203493257</v>
      </c>
      <c r="G139" s="122">
        <v>5663.8536631457073</v>
      </c>
      <c r="H139" s="174">
        <v>5696.1270098026616</v>
      </c>
    </row>
    <row r="140" spans="2:13" x14ac:dyDescent="0.2">
      <c r="B140" s="281"/>
      <c r="C140" s="125">
        <f>C141-0.01</f>
        <v>0.16000000000000011</v>
      </c>
      <c r="D140" s="122">
        <v>5598.8266131934224</v>
      </c>
      <c r="E140" s="126">
        <v>5605.3181237856006</v>
      </c>
      <c r="F140" s="126">
        <v>5632.552857216855</v>
      </c>
      <c r="G140" s="126">
        <v>5663.9452428593449</v>
      </c>
      <c r="H140" s="174">
        <v>5696.145261855243</v>
      </c>
    </row>
    <row r="141" spans="2:13" x14ac:dyDescent="0.2">
      <c r="B141" s="281"/>
      <c r="C141" s="130">
        <f>+L25</f>
        <v>0.17000000000000012</v>
      </c>
      <c r="D141" s="128">
        <v>5598.8302342789548</v>
      </c>
      <c r="E141" s="126">
        <v>5605.3188522253477</v>
      </c>
      <c r="F141" s="129">
        <v>5632.5530036175633</v>
      </c>
      <c r="G141" s="126">
        <v>5663.9452721680809</v>
      </c>
      <c r="H141" s="188">
        <v>5696.1452676965055</v>
      </c>
    </row>
    <row r="142" spans="2:13" x14ac:dyDescent="0.2">
      <c r="B142" s="281"/>
      <c r="C142" s="125">
        <f>C141+0.01</f>
        <v>0.18000000000000013</v>
      </c>
      <c r="D142" s="122">
        <v>5598.8302354378193</v>
      </c>
      <c r="E142" s="126">
        <v>5605.3188524584712</v>
      </c>
      <c r="F142" s="126">
        <v>5632.5530036644177</v>
      </c>
      <c r="G142" s="126">
        <v>5663.9452721774605</v>
      </c>
      <c r="H142" s="174">
        <v>5696.1452676983718</v>
      </c>
    </row>
    <row r="143" spans="2:13" ht="15" thickBot="1" x14ac:dyDescent="0.25">
      <c r="B143" s="282"/>
      <c r="C143" s="189">
        <f>C142+0.01</f>
        <v>0.19000000000000014</v>
      </c>
      <c r="D143" s="190">
        <v>5598.8302354381913</v>
      </c>
      <c r="E143" s="190">
        <v>5605.3188524585439</v>
      </c>
      <c r="F143" s="190">
        <v>5632.553003664435</v>
      </c>
      <c r="G143" s="190">
        <v>5663.9452721774633</v>
      </c>
      <c r="H143" s="191">
        <v>5696.1452676983736</v>
      </c>
    </row>
    <row r="144" spans="2:13" ht="15" thickTop="1" x14ac:dyDescent="0.2">
      <c r="B144" s="340"/>
      <c r="C144" s="338"/>
      <c r="D144" s="338"/>
      <c r="E144" s="338"/>
      <c r="F144" s="338"/>
      <c r="G144" s="338"/>
    </row>
    <row r="145" spans="2:13" x14ac:dyDescent="0.2">
      <c r="B145" s="340"/>
      <c r="C145" s="338"/>
      <c r="D145" s="338"/>
      <c r="E145" s="338"/>
      <c r="F145" s="338"/>
      <c r="G145" s="338"/>
      <c r="M145" s="339"/>
    </row>
    <row r="146" spans="2:13" x14ac:dyDescent="0.2">
      <c r="B146" s="340"/>
      <c r="C146" s="338"/>
      <c r="D146" s="338"/>
      <c r="E146" s="338"/>
      <c r="F146" s="338"/>
      <c r="G146" s="338"/>
    </row>
    <row r="147" spans="2:13" x14ac:dyDescent="0.2">
      <c r="B147" s="341"/>
      <c r="C147" s="342"/>
      <c r="D147" s="342"/>
      <c r="E147" s="342"/>
      <c r="F147" s="342"/>
      <c r="G147" s="342"/>
    </row>
    <row r="148" spans="2:13" x14ac:dyDescent="0.2">
      <c r="B148" s="343"/>
      <c r="C148" s="344"/>
      <c r="D148" s="344"/>
      <c r="E148" s="344"/>
      <c r="F148" s="344"/>
      <c r="G148" s="344"/>
    </row>
    <row r="149" spans="2:13" x14ac:dyDescent="0.2">
      <c r="B149" s="345"/>
      <c r="C149" s="346"/>
      <c r="D149" s="346"/>
      <c r="E149" s="346"/>
      <c r="F149" s="346"/>
      <c r="G149" s="346"/>
    </row>
    <row r="150" spans="2:13" x14ac:dyDescent="0.2">
      <c r="B150" s="347"/>
      <c r="C150" s="342"/>
      <c r="D150" s="342"/>
      <c r="E150" s="342"/>
      <c r="F150" s="342"/>
      <c r="G150" s="342"/>
    </row>
    <row r="151" spans="2:13" x14ac:dyDescent="0.2">
      <c r="B151" s="347"/>
      <c r="C151" s="346"/>
      <c r="D151" s="346"/>
      <c r="E151" s="346"/>
      <c r="F151" s="346"/>
      <c r="G151" s="346"/>
    </row>
    <row r="152" spans="2:13" x14ac:dyDescent="0.2">
      <c r="B152" s="340"/>
      <c r="C152" s="342"/>
      <c r="D152" s="342"/>
      <c r="E152" s="342"/>
      <c r="F152" s="342"/>
      <c r="G152" s="342"/>
    </row>
    <row r="153" spans="2:13" x14ac:dyDescent="0.2">
      <c r="B153" s="340"/>
      <c r="C153" s="342"/>
      <c r="D153" s="342"/>
      <c r="E153" s="342"/>
      <c r="F153" s="342"/>
      <c r="G153" s="342"/>
    </row>
    <row r="154" spans="2:13" x14ac:dyDescent="0.2">
      <c r="B154" s="340"/>
      <c r="C154" s="342"/>
      <c r="D154" s="342"/>
      <c r="E154" s="342"/>
      <c r="F154" s="342"/>
      <c r="G154" s="342"/>
    </row>
    <row r="155" spans="2:13" x14ac:dyDescent="0.2">
      <c r="B155" s="340"/>
      <c r="C155" s="342"/>
      <c r="D155" s="342"/>
      <c r="E155" s="342"/>
      <c r="F155" s="342"/>
      <c r="G155" s="342"/>
    </row>
    <row r="156" spans="2:13" x14ac:dyDescent="0.2">
      <c r="B156" s="340"/>
      <c r="C156" s="342"/>
      <c r="D156" s="342"/>
      <c r="E156" s="342"/>
      <c r="F156" s="342"/>
      <c r="G156" s="342"/>
    </row>
    <row r="157" spans="2:13" x14ac:dyDescent="0.2">
      <c r="B157" s="340"/>
      <c r="C157" s="342"/>
      <c r="D157" s="342"/>
      <c r="E157" s="342"/>
      <c r="F157" s="342"/>
      <c r="G157" s="342"/>
    </row>
    <row r="158" spans="2:13" x14ac:dyDescent="0.2">
      <c r="B158" s="340"/>
      <c r="C158" s="342"/>
      <c r="D158" s="342"/>
      <c r="E158" s="342"/>
      <c r="F158" s="342"/>
      <c r="G158" s="342"/>
    </row>
    <row r="159" spans="2:13" x14ac:dyDescent="0.2">
      <c r="B159" s="340"/>
      <c r="C159" s="342"/>
      <c r="D159" s="342"/>
      <c r="E159" s="342"/>
      <c r="F159" s="342"/>
      <c r="G159" s="342"/>
    </row>
    <row r="160" spans="2:13" x14ac:dyDescent="0.2">
      <c r="B160" s="340"/>
      <c r="C160" s="342"/>
      <c r="D160" s="342"/>
      <c r="E160" s="342"/>
      <c r="F160" s="342"/>
      <c r="G160" s="342"/>
    </row>
    <row r="161" spans="2:7" x14ac:dyDescent="0.2">
      <c r="B161" s="340"/>
      <c r="C161" s="342"/>
      <c r="D161" s="342"/>
      <c r="E161" s="342"/>
      <c r="F161" s="342"/>
      <c r="G161" s="342"/>
    </row>
    <row r="162" spans="2:7" x14ac:dyDescent="0.2">
      <c r="B162" s="340"/>
      <c r="C162" s="342"/>
      <c r="D162" s="342"/>
      <c r="E162" s="342"/>
      <c r="F162" s="342"/>
      <c r="G162" s="342"/>
    </row>
    <row r="163" spans="2:7" x14ac:dyDescent="0.2">
      <c r="B163" s="340"/>
      <c r="C163" s="342"/>
      <c r="D163" s="342"/>
      <c r="E163" s="342"/>
      <c r="F163" s="342"/>
      <c r="G163" s="342"/>
    </row>
    <row r="164" spans="2:7" x14ac:dyDescent="0.2">
      <c r="B164" s="340"/>
      <c r="C164" s="342"/>
      <c r="D164" s="342"/>
      <c r="E164" s="342"/>
      <c r="F164" s="342"/>
      <c r="G164" s="342"/>
    </row>
    <row r="165" spans="2:7" x14ac:dyDescent="0.2">
      <c r="B165" s="340"/>
      <c r="C165" s="342"/>
      <c r="D165" s="342"/>
      <c r="E165" s="342"/>
      <c r="F165" s="342"/>
      <c r="G165" s="342"/>
    </row>
    <row r="166" spans="2:7" x14ac:dyDescent="0.2">
      <c r="B166" s="340"/>
      <c r="C166" s="342"/>
      <c r="D166" s="342"/>
      <c r="E166" s="342"/>
      <c r="F166" s="342"/>
      <c r="G166" s="342"/>
    </row>
    <row r="167" spans="2:7" x14ac:dyDescent="0.2">
      <c r="B167" s="340"/>
      <c r="C167" s="342"/>
      <c r="D167" s="342"/>
      <c r="E167" s="342"/>
      <c r="F167" s="342"/>
      <c r="G167" s="342"/>
    </row>
  </sheetData>
  <sheetProtection sheet="1" objects="1" scenarios="1"/>
  <mergeCells count="19">
    <mergeCell ref="B98:C98"/>
    <mergeCell ref="E98:J98"/>
    <mergeCell ref="B126:H126"/>
    <mergeCell ref="B127:H127"/>
    <mergeCell ref="B6:L6"/>
    <mergeCell ref="C7:F7"/>
    <mergeCell ref="H7:L7"/>
    <mergeCell ref="M7:M8"/>
    <mergeCell ref="B43:F43"/>
    <mergeCell ref="C56:F56"/>
    <mergeCell ref="H56:L56"/>
    <mergeCell ref="B74:I74"/>
    <mergeCell ref="B96:J96"/>
    <mergeCell ref="D128:H128"/>
    <mergeCell ref="B130:B134"/>
    <mergeCell ref="D137:H137"/>
    <mergeCell ref="B139:B143"/>
    <mergeCell ref="B150:B151"/>
    <mergeCell ref="B136:H136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4"/>
  <dimension ref="A2:J7"/>
  <sheetViews>
    <sheetView showGridLines="0" showRowColHeaders="0" workbookViewId="0">
      <selection activeCell="X30" sqref="X30"/>
    </sheetView>
  </sheetViews>
  <sheetFormatPr defaultRowHeight="14.25" x14ac:dyDescent="0.2"/>
  <cols>
    <col min="1" max="1" width="15.5" style="317" customWidth="1"/>
    <col min="2" max="10" width="10.125" style="317" bestFit="1" customWidth="1"/>
    <col min="11" max="16384" width="9" style="317"/>
  </cols>
  <sheetData>
    <row r="2" spans="1:10" x14ac:dyDescent="0.2">
      <c r="B2" s="353">
        <v>2014</v>
      </c>
      <c r="C2" s="353">
        <f>+B2+1</f>
        <v>2015</v>
      </c>
      <c r="D2" s="353">
        <f>+C2+1</f>
        <v>2016</v>
      </c>
      <c r="E2" s="353">
        <f>+D2+1</f>
        <v>2017</v>
      </c>
      <c r="F2" s="354">
        <f>E2+1</f>
        <v>2018</v>
      </c>
      <c r="G2" s="355">
        <f>F2+1</f>
        <v>2019</v>
      </c>
      <c r="H2" s="355">
        <f>G2+1</f>
        <v>2020</v>
      </c>
      <c r="I2" s="355">
        <f>H2+1</f>
        <v>2021</v>
      </c>
      <c r="J2" s="356">
        <f>I2+1</f>
        <v>2022</v>
      </c>
    </row>
    <row r="3" spans="1:10" x14ac:dyDescent="0.2">
      <c r="A3" s="317" t="str">
        <f>Valuation!B9</f>
        <v>Faturamento</v>
      </c>
      <c r="B3" s="357">
        <f>Valuation!C9</f>
        <v>2867</v>
      </c>
      <c r="C3" s="357">
        <f>Valuation!D9</f>
        <v>2766</v>
      </c>
      <c r="D3" s="357">
        <f>Valuation!E9</f>
        <v>4055</v>
      </c>
      <c r="E3" s="357">
        <f>Valuation!F9</f>
        <v>4822</v>
      </c>
      <c r="F3" s="357">
        <f>Valuation!H9</f>
        <v>5255.9800000000005</v>
      </c>
      <c r="G3" s="357">
        <f>Valuation!I9</f>
        <v>5729.0182000000013</v>
      </c>
      <c r="H3" s="357">
        <f>Valuation!J9</f>
        <v>6244.6298380000017</v>
      </c>
      <c r="I3" s="357">
        <f>Valuation!K9</f>
        <v>6806.6465234200023</v>
      </c>
      <c r="J3" s="357">
        <f>Valuation!L9</f>
        <v>7419.2447105278034</v>
      </c>
    </row>
    <row r="4" spans="1:10" x14ac:dyDescent="0.2">
      <c r="A4" s="317" t="str">
        <f>Valuation!B24</f>
        <v>EBITDA</v>
      </c>
      <c r="B4" s="357">
        <f>Valuation!C24</f>
        <v>398.10000000000014</v>
      </c>
      <c r="C4" s="357">
        <f>Valuation!D24</f>
        <v>279.79999999999995</v>
      </c>
      <c r="D4" s="357">
        <f>Valuation!E24</f>
        <v>566.50000000000045</v>
      </c>
      <c r="E4" s="357">
        <f>Valuation!F24</f>
        <v>658.60000000000036</v>
      </c>
      <c r="F4" s="357">
        <f>Valuation!H24</f>
        <v>893.51660000000027</v>
      </c>
      <c r="G4" s="357">
        <f>Valuation!I24</f>
        <v>973.93309400000066</v>
      </c>
      <c r="H4" s="357">
        <f>Valuation!J24</f>
        <v>1061.5870724600006</v>
      </c>
      <c r="I4" s="357">
        <f>Valuation!K24</f>
        <v>1157.1299089814006</v>
      </c>
      <c r="J4" s="357">
        <f>Valuation!L24</f>
        <v>1261.2716007897275</v>
      </c>
    </row>
    <row r="5" spans="1:10" x14ac:dyDescent="0.2">
      <c r="A5" s="317" t="str">
        <f>Valuation!B25</f>
        <v>% EBITDA</v>
      </c>
      <c r="B5" s="358">
        <f>Valuation!C25</f>
        <v>0.13885594698290901</v>
      </c>
      <c r="C5" s="358">
        <f>Valuation!D25</f>
        <v>0.10115690527838031</v>
      </c>
      <c r="D5" s="358">
        <f>Valuation!E25</f>
        <v>0.13970406905055499</v>
      </c>
      <c r="E5" s="358">
        <f>Valuation!F25</f>
        <v>0.13658233098299469</v>
      </c>
      <c r="F5" s="358">
        <f>Valuation!H25</f>
        <v>0.17000000000000004</v>
      </c>
      <c r="G5" s="358">
        <f>Valuation!I25</f>
        <v>0.17000000000000007</v>
      </c>
      <c r="H5" s="358">
        <f>Valuation!J25</f>
        <v>0.17000000000000007</v>
      </c>
      <c r="I5" s="358">
        <f>Valuation!K25</f>
        <v>0.17000000000000004</v>
      </c>
      <c r="J5" s="358">
        <f>Valuation!L25</f>
        <v>0.17000000000000012</v>
      </c>
    </row>
    <row r="6" spans="1:10" ht="24" x14ac:dyDescent="0.2">
      <c r="A6" s="359" t="str">
        <f>Valuation!B70</f>
        <v>Necessidade de Capital de Giro</v>
      </c>
      <c r="B6" s="360">
        <f>Valuation!C70</f>
        <v>45</v>
      </c>
      <c r="C6" s="360">
        <f>Valuation!D70</f>
        <v>50</v>
      </c>
      <c r="D6" s="360">
        <f>Valuation!E70</f>
        <v>51</v>
      </c>
      <c r="E6" s="360">
        <f>Valuation!F70</f>
        <v>43</v>
      </c>
      <c r="F6" s="361">
        <f>Valuation!H70</f>
        <v>72.62058962698957</v>
      </c>
      <c r="G6" s="361">
        <f>Valuation!I70</f>
        <v>79.15644269341864</v>
      </c>
      <c r="H6" s="361">
        <f>Valuation!J70</f>
        <v>86.280522535826336</v>
      </c>
      <c r="I6" s="361">
        <f>Valuation!K70</f>
        <v>94.045769564050715</v>
      </c>
      <c r="J6" s="361">
        <f>Valuation!L70</f>
        <v>102.50988882481526</v>
      </c>
    </row>
    <row r="7" spans="1:10" x14ac:dyDescent="0.2">
      <c r="A7" s="317" t="s">
        <v>24</v>
      </c>
      <c r="B7" s="360"/>
      <c r="C7" s="360">
        <f>Valuation!D33</f>
        <v>-85</v>
      </c>
      <c r="D7" s="360">
        <f>Valuation!E33</f>
        <v>-42</v>
      </c>
      <c r="E7" s="360">
        <f>Valuation!F33</f>
        <v>-180</v>
      </c>
      <c r="F7" s="361">
        <f>Valuation!H33</f>
        <v>-157.67940000000002</v>
      </c>
      <c r="G7" s="361">
        <f>Valuation!I33</f>
        <v>-171.87054600000005</v>
      </c>
      <c r="H7" s="361">
        <f>Valuation!J33</f>
        <v>-187.33889514000003</v>
      </c>
      <c r="I7" s="361">
        <f>Valuation!K33</f>
        <v>-204.19939570260007</v>
      </c>
      <c r="J7" s="361">
        <f>Valuation!L33</f>
        <v>-222.5773413158341</v>
      </c>
    </row>
  </sheetData>
  <sheetProtection algorithmName="SHA-512" hashValue="aiXS3pkeSboBw7bIkuXsuz43yOCQIgkyiJarfAUcgVO15qdJ9W8by4fgcyeGfJtvmrWgrtycenMzevYe/LnlWA==" saltValue="EfEh2WfUPvNLOiwodCK14Q==" spinCount="100000" sheet="1" objects="1" scenarios="1"/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Menu</vt:lpstr>
      <vt:lpstr>Valuation</vt:lpstr>
      <vt:lpstr>Gráficos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Valini Consulting &amp; Training</dc:creator>
  <cp:lastModifiedBy>Valini Consulting</cp:lastModifiedBy>
  <dcterms:created xsi:type="dcterms:W3CDTF">2018-07-14T15:29:49Z</dcterms:created>
  <dcterms:modified xsi:type="dcterms:W3CDTF">2022-04-23T21:12:30Z</dcterms:modified>
</cp:coreProperties>
</file>